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fund_tracker_psx\data\stocks\"/>
    </mc:Choice>
  </mc:AlternateContent>
  <xr:revisionPtr revIDLastSave="0" documentId="13_ncr:1_{67583C49-AFA9-43FD-8D85-0066746F0FA9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Master Data Entry" sheetId="1" r:id="rId1"/>
  </sheets>
  <definedNames>
    <definedName name="_xlnm._FilterDatabase" localSheetId="0" hidden="1">'Master Data Entry'!$A$1:$S$535</definedName>
    <definedName name="_xlnm.Print_Area" localSheetId="0">'Master Data Entry'!$A$2:$S$530</definedName>
    <definedName name="_xlnm.Print_Titles" localSheetId="0">'Master Data Entry'!$1:$1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5" i="1" l="1"/>
  <c r="M535" i="1"/>
  <c r="G535" i="1"/>
  <c r="Q534" i="1"/>
  <c r="M534" i="1"/>
  <c r="G534" i="1"/>
  <c r="Q533" i="1"/>
  <c r="M533" i="1"/>
  <c r="G533" i="1"/>
  <c r="Q532" i="1"/>
  <c r="M532" i="1"/>
  <c r="G532" i="1"/>
  <c r="A532" i="1"/>
  <c r="A533" i="1" s="1"/>
  <c r="Q531" i="1"/>
  <c r="M531" i="1"/>
  <c r="G531" i="1"/>
  <c r="Q530" i="1"/>
  <c r="M530" i="1"/>
  <c r="G530" i="1"/>
  <c r="Q529" i="1"/>
  <c r="M529" i="1"/>
  <c r="G529" i="1"/>
  <c r="A529" i="1"/>
  <c r="A530" i="1" s="1"/>
  <c r="Q528" i="1"/>
  <c r="M528" i="1"/>
  <c r="G528" i="1"/>
  <c r="Q527" i="1"/>
  <c r="M527" i="1"/>
  <c r="G527" i="1"/>
  <c r="Q526" i="1"/>
  <c r="M526" i="1"/>
  <c r="G526" i="1"/>
  <c r="Q525" i="1"/>
  <c r="M525" i="1"/>
  <c r="G525" i="1"/>
  <c r="Q524" i="1"/>
  <c r="M524" i="1"/>
  <c r="G524" i="1"/>
  <c r="Q523" i="1"/>
  <c r="M523" i="1"/>
  <c r="G523" i="1"/>
  <c r="O522" i="1"/>
  <c r="Q522" i="1" s="1"/>
  <c r="M522" i="1"/>
  <c r="G522" i="1"/>
  <c r="Q521" i="1"/>
  <c r="M521" i="1"/>
  <c r="G521" i="1"/>
  <c r="O520" i="1"/>
  <c r="M520" i="1"/>
  <c r="G520" i="1"/>
  <c r="Q519" i="1"/>
  <c r="M519" i="1"/>
  <c r="G519" i="1"/>
  <c r="Q518" i="1"/>
  <c r="M518" i="1"/>
  <c r="G518" i="1"/>
  <c r="Q517" i="1"/>
  <c r="M517" i="1"/>
  <c r="G517" i="1"/>
  <c r="Q516" i="1"/>
  <c r="M516" i="1"/>
  <c r="G516" i="1"/>
  <c r="Q515" i="1"/>
  <c r="M515" i="1"/>
  <c r="G515" i="1"/>
  <c r="Q514" i="1"/>
  <c r="M514" i="1"/>
  <c r="G514" i="1"/>
  <c r="Q513" i="1"/>
  <c r="M513" i="1"/>
  <c r="G513" i="1"/>
  <c r="A513" i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Q512" i="1"/>
  <c r="M512" i="1"/>
  <c r="G512" i="1"/>
  <c r="Q511" i="1"/>
  <c r="M511" i="1"/>
  <c r="G511" i="1"/>
  <c r="Q510" i="1"/>
  <c r="M510" i="1"/>
  <c r="G510" i="1"/>
  <c r="Q509" i="1"/>
  <c r="M509" i="1"/>
  <c r="G509" i="1"/>
  <c r="Q508" i="1"/>
  <c r="M508" i="1"/>
  <c r="G508" i="1"/>
  <c r="Q507" i="1"/>
  <c r="M507" i="1"/>
  <c r="G507" i="1"/>
  <c r="Q506" i="1"/>
  <c r="M506" i="1"/>
  <c r="G506" i="1"/>
  <c r="Q505" i="1"/>
  <c r="M505" i="1"/>
  <c r="G505" i="1"/>
  <c r="Q504" i="1"/>
  <c r="M504" i="1"/>
  <c r="G504" i="1"/>
  <c r="A504" i="1"/>
  <c r="A505" i="1" s="1"/>
  <c r="A506" i="1" s="1"/>
  <c r="A507" i="1" s="1"/>
  <c r="A508" i="1" s="1"/>
  <c r="A509" i="1" s="1"/>
  <c r="A510" i="1" s="1"/>
  <c r="Q503" i="1"/>
  <c r="M503" i="1"/>
  <c r="G503" i="1"/>
  <c r="Q502" i="1"/>
  <c r="M502" i="1"/>
  <c r="G502" i="1"/>
  <c r="A502" i="1"/>
  <c r="Q501" i="1"/>
  <c r="M501" i="1"/>
  <c r="G501" i="1"/>
  <c r="Q500" i="1"/>
  <c r="M500" i="1"/>
  <c r="G500" i="1"/>
  <c r="Q499" i="1"/>
  <c r="M499" i="1"/>
  <c r="G499" i="1"/>
  <c r="O498" i="1"/>
  <c r="Q498" i="1" s="1"/>
  <c r="M498" i="1"/>
  <c r="G498" i="1"/>
  <c r="Q497" i="1"/>
  <c r="M497" i="1"/>
  <c r="I497" i="1"/>
  <c r="G497" i="1"/>
  <c r="Q496" i="1"/>
  <c r="M496" i="1"/>
  <c r="G496" i="1"/>
  <c r="Q495" i="1"/>
  <c r="M495" i="1"/>
  <c r="G495" i="1"/>
  <c r="Q494" i="1"/>
  <c r="M494" i="1"/>
  <c r="G494" i="1"/>
  <c r="O493" i="1"/>
  <c r="Q493" i="1" s="1"/>
  <c r="M493" i="1"/>
  <c r="G493" i="1"/>
  <c r="Q492" i="1"/>
  <c r="M492" i="1"/>
  <c r="G492" i="1"/>
  <c r="Q491" i="1"/>
  <c r="M491" i="1"/>
  <c r="G491" i="1"/>
  <c r="O490" i="1"/>
  <c r="M490" i="1"/>
  <c r="G490" i="1"/>
  <c r="O489" i="1"/>
  <c r="M489" i="1"/>
  <c r="G489" i="1"/>
  <c r="O488" i="1"/>
  <c r="M488" i="1"/>
  <c r="E488" i="1"/>
  <c r="Q487" i="1"/>
  <c r="M487" i="1"/>
  <c r="G487" i="1"/>
  <c r="Q486" i="1"/>
  <c r="M486" i="1"/>
  <c r="G486" i="1"/>
  <c r="Q485" i="1"/>
  <c r="M485" i="1"/>
  <c r="G485" i="1"/>
  <c r="Q484" i="1"/>
  <c r="M484" i="1"/>
  <c r="G484" i="1"/>
  <c r="Q483" i="1"/>
  <c r="M483" i="1"/>
  <c r="G483" i="1"/>
  <c r="Q482" i="1"/>
  <c r="M482" i="1"/>
  <c r="G482" i="1"/>
  <c r="Q481" i="1"/>
  <c r="M481" i="1"/>
  <c r="G481" i="1"/>
  <c r="O480" i="1"/>
  <c r="M480" i="1"/>
  <c r="G480" i="1"/>
  <c r="Q479" i="1"/>
  <c r="M479" i="1"/>
  <c r="G479" i="1"/>
  <c r="Q478" i="1"/>
  <c r="M478" i="1"/>
  <c r="G478" i="1"/>
  <c r="A478" i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Q477" i="1"/>
  <c r="M477" i="1"/>
  <c r="G477" i="1"/>
  <c r="Q476" i="1"/>
  <c r="M476" i="1"/>
  <c r="G476" i="1"/>
  <c r="Q475" i="1"/>
  <c r="M475" i="1"/>
  <c r="G475" i="1"/>
  <c r="Q474" i="1"/>
  <c r="M474" i="1"/>
  <c r="G474" i="1"/>
  <c r="Q473" i="1"/>
  <c r="M473" i="1"/>
  <c r="G473" i="1"/>
  <c r="Q472" i="1"/>
  <c r="M472" i="1"/>
  <c r="G472" i="1"/>
  <c r="A472" i="1"/>
  <c r="A473" i="1" s="1"/>
  <c r="A474" i="1" s="1"/>
  <c r="A475" i="1" s="1"/>
  <c r="O471" i="1"/>
  <c r="Q471" i="1" s="1"/>
  <c r="M471" i="1"/>
  <c r="G471" i="1"/>
  <c r="Q470" i="1"/>
  <c r="M470" i="1"/>
  <c r="G470" i="1"/>
  <c r="Q469" i="1"/>
  <c r="M469" i="1"/>
  <c r="G469" i="1"/>
  <c r="A469" i="1"/>
  <c r="Q468" i="1"/>
  <c r="M468" i="1"/>
  <c r="G468" i="1"/>
  <c r="Q467" i="1"/>
  <c r="M467" i="1"/>
  <c r="G467" i="1"/>
  <c r="A467" i="1"/>
  <c r="Q466" i="1"/>
  <c r="M466" i="1"/>
  <c r="G466" i="1"/>
  <c r="Q465" i="1"/>
  <c r="M465" i="1"/>
  <c r="G465" i="1"/>
  <c r="O464" i="1"/>
  <c r="M464" i="1"/>
  <c r="G464" i="1"/>
  <c r="Q463" i="1"/>
  <c r="M463" i="1"/>
  <c r="G463" i="1"/>
  <c r="O462" i="1"/>
  <c r="M462" i="1"/>
  <c r="G462" i="1"/>
  <c r="Q461" i="1"/>
  <c r="M461" i="1"/>
  <c r="G461" i="1"/>
  <c r="Q460" i="1"/>
  <c r="M460" i="1"/>
  <c r="G460" i="1"/>
  <c r="Q459" i="1"/>
  <c r="M459" i="1"/>
  <c r="G459" i="1"/>
  <c r="Q458" i="1"/>
  <c r="M458" i="1"/>
  <c r="G458" i="1"/>
  <c r="O457" i="1"/>
  <c r="M457" i="1"/>
  <c r="G457" i="1"/>
  <c r="A457" i="1"/>
  <c r="A458" i="1" s="1"/>
  <c r="A459" i="1" s="1"/>
  <c r="A460" i="1" s="1"/>
  <c r="A461" i="1" s="1"/>
  <c r="A462" i="1" s="1"/>
  <c r="A463" i="1" s="1"/>
  <c r="A464" i="1" s="1"/>
  <c r="A465" i="1" s="1"/>
  <c r="Q456" i="1"/>
  <c r="M456" i="1"/>
  <c r="G456" i="1"/>
  <c r="Q455" i="1"/>
  <c r="M455" i="1"/>
  <c r="G455" i="1"/>
  <c r="Q454" i="1"/>
  <c r="M454" i="1"/>
  <c r="G454" i="1"/>
  <c r="Q453" i="1"/>
  <c r="M453" i="1"/>
  <c r="G453" i="1"/>
  <c r="A453" i="1"/>
  <c r="A454" i="1" s="1"/>
  <c r="A455" i="1" s="1"/>
  <c r="Q452" i="1"/>
  <c r="M452" i="1"/>
  <c r="G452" i="1"/>
  <c r="Q451" i="1"/>
  <c r="M451" i="1"/>
  <c r="G451" i="1"/>
  <c r="Q450" i="1"/>
  <c r="M450" i="1"/>
  <c r="G450" i="1"/>
  <c r="Q449" i="1"/>
  <c r="M449" i="1"/>
  <c r="G449" i="1"/>
  <c r="Q448" i="1"/>
  <c r="M448" i="1"/>
  <c r="G448" i="1"/>
  <c r="Q447" i="1"/>
  <c r="M447" i="1"/>
  <c r="G447" i="1"/>
  <c r="O446" i="1"/>
  <c r="M446" i="1"/>
  <c r="G446" i="1"/>
  <c r="Q445" i="1"/>
  <c r="M445" i="1"/>
  <c r="G445" i="1"/>
  <c r="O444" i="1"/>
  <c r="M444" i="1"/>
  <c r="G444" i="1"/>
  <c r="O443" i="1"/>
  <c r="Q443" i="1" s="1"/>
  <c r="M443" i="1"/>
  <c r="G443" i="1"/>
  <c r="O442" i="1"/>
  <c r="M442" i="1"/>
  <c r="G442" i="1"/>
  <c r="Q441" i="1"/>
  <c r="M441" i="1"/>
  <c r="G441" i="1"/>
  <c r="Q440" i="1"/>
  <c r="M440" i="1"/>
  <c r="G440" i="1"/>
  <c r="Q439" i="1"/>
  <c r="M439" i="1"/>
  <c r="G439" i="1"/>
  <c r="Q438" i="1"/>
  <c r="M438" i="1"/>
  <c r="G438" i="1"/>
  <c r="O437" i="1"/>
  <c r="M437" i="1"/>
  <c r="G437" i="1"/>
  <c r="Q436" i="1"/>
  <c r="M436" i="1"/>
  <c r="G436" i="1"/>
  <c r="Q435" i="1"/>
  <c r="M435" i="1"/>
  <c r="G435" i="1"/>
  <c r="Q434" i="1"/>
  <c r="M434" i="1"/>
  <c r="G434" i="1"/>
  <c r="O433" i="1"/>
  <c r="M433" i="1"/>
  <c r="I433" i="1"/>
  <c r="G433" i="1"/>
  <c r="Q432" i="1"/>
  <c r="M432" i="1"/>
  <c r="G432" i="1"/>
  <c r="Q431" i="1"/>
  <c r="M431" i="1"/>
  <c r="G431" i="1"/>
  <c r="A431" i="1"/>
  <c r="Q430" i="1"/>
  <c r="M430" i="1"/>
  <c r="G430" i="1"/>
  <c r="Q429" i="1"/>
  <c r="M429" i="1"/>
  <c r="G429" i="1"/>
  <c r="O428" i="1"/>
  <c r="M428" i="1"/>
  <c r="G428" i="1"/>
  <c r="Q427" i="1"/>
  <c r="M427" i="1"/>
  <c r="G427" i="1"/>
  <c r="O426" i="1"/>
  <c r="M426" i="1"/>
  <c r="G426" i="1"/>
  <c r="Q425" i="1"/>
  <c r="M425" i="1"/>
  <c r="G425" i="1"/>
  <c r="Q424" i="1"/>
  <c r="M424" i="1"/>
  <c r="G424" i="1"/>
  <c r="O423" i="1"/>
  <c r="Q423" i="1" s="1"/>
  <c r="M423" i="1"/>
  <c r="G423" i="1"/>
  <c r="Q422" i="1"/>
  <c r="M422" i="1"/>
  <c r="G422" i="1"/>
  <c r="Q421" i="1"/>
  <c r="M421" i="1"/>
  <c r="G421" i="1"/>
  <c r="Q420" i="1"/>
  <c r="M420" i="1"/>
  <c r="G420" i="1"/>
  <c r="Q419" i="1"/>
  <c r="M419" i="1"/>
  <c r="G419" i="1"/>
  <c r="Q418" i="1"/>
  <c r="M418" i="1"/>
  <c r="G418" i="1"/>
  <c r="A418" i="1"/>
  <c r="Q417" i="1"/>
  <c r="M417" i="1"/>
  <c r="G417" i="1"/>
  <c r="O416" i="1"/>
  <c r="M416" i="1"/>
  <c r="G416" i="1"/>
  <c r="Q415" i="1"/>
  <c r="M415" i="1"/>
  <c r="G415" i="1"/>
  <c r="O414" i="1"/>
  <c r="M414" i="1"/>
  <c r="G414" i="1"/>
  <c r="O413" i="1"/>
  <c r="M413" i="1"/>
  <c r="G413" i="1"/>
  <c r="O412" i="1"/>
  <c r="M412" i="1"/>
  <c r="G412" i="1"/>
  <c r="A412" i="1"/>
  <c r="A413" i="1" s="1"/>
  <c r="A414" i="1" s="1"/>
  <c r="A415" i="1" s="1"/>
  <c r="A416" i="1" s="1"/>
  <c r="Q411" i="1"/>
  <c r="M411" i="1"/>
  <c r="G411" i="1"/>
  <c r="Q410" i="1"/>
  <c r="M410" i="1"/>
  <c r="G410" i="1"/>
  <c r="Q409" i="1"/>
  <c r="M409" i="1"/>
  <c r="G409" i="1"/>
  <c r="Q408" i="1"/>
  <c r="M408" i="1"/>
  <c r="G408" i="1"/>
  <c r="Q407" i="1"/>
  <c r="M407" i="1"/>
  <c r="G407" i="1"/>
  <c r="Q406" i="1"/>
  <c r="M406" i="1"/>
  <c r="G406" i="1"/>
  <c r="Q405" i="1"/>
  <c r="M405" i="1"/>
  <c r="G405" i="1"/>
  <c r="Q404" i="1"/>
  <c r="M404" i="1"/>
  <c r="G404" i="1"/>
  <c r="Q403" i="1"/>
  <c r="M403" i="1"/>
  <c r="G403" i="1"/>
  <c r="Q402" i="1"/>
  <c r="M402" i="1"/>
  <c r="G402" i="1"/>
  <c r="Q401" i="1"/>
  <c r="M401" i="1"/>
  <c r="G401" i="1"/>
  <c r="Q400" i="1"/>
  <c r="M400" i="1"/>
  <c r="G400" i="1"/>
  <c r="Q399" i="1"/>
  <c r="M399" i="1"/>
  <c r="G399" i="1"/>
  <c r="Q398" i="1"/>
  <c r="M398" i="1"/>
  <c r="G398" i="1"/>
  <c r="Q397" i="1"/>
  <c r="M397" i="1"/>
  <c r="G397" i="1"/>
  <c r="O396" i="1"/>
  <c r="Q396" i="1" s="1"/>
  <c r="M396" i="1"/>
  <c r="G396" i="1"/>
  <c r="A396" i="1"/>
  <c r="Q395" i="1"/>
  <c r="M395" i="1"/>
  <c r="G395" i="1"/>
  <c r="Q394" i="1"/>
  <c r="M394" i="1"/>
  <c r="G394" i="1"/>
  <c r="O393" i="1"/>
  <c r="M393" i="1"/>
  <c r="G393" i="1"/>
  <c r="O392" i="1"/>
  <c r="M392" i="1"/>
  <c r="G392" i="1"/>
  <c r="Q391" i="1"/>
  <c r="M391" i="1"/>
  <c r="G391" i="1"/>
  <c r="A391" i="1"/>
  <c r="A392" i="1" s="1"/>
  <c r="A393" i="1" s="1"/>
  <c r="A394" i="1" s="1"/>
  <c r="Q390" i="1"/>
  <c r="M390" i="1"/>
  <c r="G390" i="1"/>
  <c r="Q389" i="1"/>
  <c r="M389" i="1"/>
  <c r="G389" i="1"/>
  <c r="Q388" i="1"/>
  <c r="M388" i="1"/>
  <c r="G388" i="1"/>
  <c r="Q387" i="1"/>
  <c r="M387" i="1"/>
  <c r="G387" i="1"/>
  <c r="Q386" i="1"/>
  <c r="M386" i="1"/>
  <c r="G386" i="1"/>
  <c r="Q385" i="1"/>
  <c r="M385" i="1"/>
  <c r="G385" i="1"/>
  <c r="Q384" i="1"/>
  <c r="M384" i="1"/>
  <c r="G384" i="1"/>
  <c r="A384" i="1"/>
  <c r="A385" i="1" s="1"/>
  <c r="A386" i="1" s="1"/>
  <c r="A387" i="1" s="1"/>
  <c r="A388" i="1" s="1"/>
  <c r="A389" i="1" s="1"/>
  <c r="Q383" i="1"/>
  <c r="M383" i="1"/>
  <c r="G383" i="1"/>
  <c r="Q382" i="1"/>
  <c r="M382" i="1"/>
  <c r="G382" i="1"/>
  <c r="A382" i="1"/>
  <c r="Q381" i="1"/>
  <c r="M381" i="1"/>
  <c r="G381" i="1"/>
  <c r="O380" i="1"/>
  <c r="M380" i="1"/>
  <c r="G380" i="1"/>
  <c r="Q379" i="1"/>
  <c r="M379" i="1"/>
  <c r="G379" i="1"/>
  <c r="Q378" i="1"/>
  <c r="M378" i="1"/>
  <c r="G378" i="1"/>
  <c r="Q377" i="1"/>
  <c r="M377" i="1"/>
  <c r="G377" i="1"/>
  <c r="Q376" i="1"/>
  <c r="M376" i="1"/>
  <c r="G376" i="1"/>
  <c r="Q375" i="1"/>
  <c r="M375" i="1"/>
  <c r="G375" i="1"/>
  <c r="O374" i="1"/>
  <c r="M374" i="1"/>
  <c r="E374" i="1"/>
  <c r="Q373" i="1"/>
  <c r="M373" i="1"/>
  <c r="G373" i="1"/>
  <c r="A373" i="1"/>
  <c r="Q372" i="1"/>
  <c r="M372" i="1"/>
  <c r="G372" i="1"/>
  <c r="O371" i="1"/>
  <c r="Q371" i="1" s="1"/>
  <c r="M371" i="1"/>
  <c r="G371" i="1"/>
  <c r="O370" i="1"/>
  <c r="M370" i="1"/>
  <c r="G370" i="1"/>
  <c r="O369" i="1"/>
  <c r="Q369" i="1" s="1"/>
  <c r="M369" i="1"/>
  <c r="E369" i="1"/>
  <c r="Q368" i="1"/>
  <c r="M368" i="1"/>
  <c r="G368" i="1"/>
  <c r="Q367" i="1"/>
  <c r="M367" i="1"/>
  <c r="G367" i="1"/>
  <c r="Q366" i="1"/>
  <c r="M366" i="1"/>
  <c r="G366" i="1"/>
  <c r="Q365" i="1"/>
  <c r="M365" i="1"/>
  <c r="G365" i="1"/>
  <c r="Q364" i="1"/>
  <c r="M364" i="1"/>
  <c r="G364" i="1"/>
  <c r="O363" i="1"/>
  <c r="M363" i="1"/>
  <c r="E363" i="1"/>
  <c r="A363" i="1"/>
  <c r="A364" i="1" s="1"/>
  <c r="A365" i="1" s="1"/>
  <c r="A366" i="1" s="1"/>
  <c r="Q362" i="1"/>
  <c r="M362" i="1"/>
  <c r="G362" i="1"/>
  <c r="Q361" i="1"/>
  <c r="M361" i="1"/>
  <c r="G361" i="1"/>
  <c r="Q360" i="1"/>
  <c r="M360" i="1"/>
  <c r="G360" i="1"/>
  <c r="Q359" i="1"/>
  <c r="M359" i="1"/>
  <c r="G359" i="1"/>
  <c r="A359" i="1"/>
  <c r="A360" i="1" s="1"/>
  <c r="A361" i="1" s="1"/>
  <c r="Q358" i="1"/>
  <c r="M358" i="1"/>
  <c r="G358" i="1"/>
  <c r="Q357" i="1"/>
  <c r="M357" i="1"/>
  <c r="G357" i="1"/>
  <c r="Q356" i="1"/>
  <c r="M356" i="1"/>
  <c r="G356" i="1"/>
  <c r="Q355" i="1"/>
  <c r="M355" i="1"/>
  <c r="G355" i="1"/>
  <c r="Q354" i="1"/>
  <c r="M354" i="1"/>
  <c r="G354" i="1"/>
  <c r="O353" i="1"/>
  <c r="M353" i="1"/>
  <c r="G353" i="1"/>
  <c r="O352" i="1"/>
  <c r="M352" i="1"/>
  <c r="G352" i="1"/>
  <c r="Q351" i="1"/>
  <c r="M351" i="1"/>
  <c r="G351" i="1"/>
  <c r="O350" i="1"/>
  <c r="M350" i="1"/>
  <c r="G350" i="1"/>
  <c r="Q349" i="1"/>
  <c r="M349" i="1"/>
  <c r="G349" i="1"/>
  <c r="Q348" i="1"/>
  <c r="M348" i="1"/>
  <c r="G348" i="1"/>
  <c r="Q347" i="1"/>
  <c r="M347" i="1"/>
  <c r="G347" i="1"/>
  <c r="A347" i="1"/>
  <c r="Q346" i="1"/>
  <c r="M346" i="1"/>
  <c r="G346" i="1"/>
  <c r="O345" i="1"/>
  <c r="Q345" i="1" s="1"/>
  <c r="M345" i="1"/>
  <c r="G345" i="1"/>
  <c r="O344" i="1"/>
  <c r="M344" i="1"/>
  <c r="G344" i="1"/>
  <c r="O343" i="1"/>
  <c r="Q343" i="1" s="1"/>
  <c r="M343" i="1"/>
  <c r="E343" i="1"/>
  <c r="A343" i="1"/>
  <c r="O342" i="1"/>
  <c r="Q342" i="1" s="1"/>
  <c r="M342" i="1"/>
  <c r="G342" i="1"/>
  <c r="Q341" i="1"/>
  <c r="M341" i="1"/>
  <c r="G341" i="1"/>
  <c r="Q340" i="1"/>
  <c r="M340" i="1"/>
  <c r="G340" i="1"/>
  <c r="Q339" i="1"/>
  <c r="M339" i="1"/>
  <c r="G339" i="1"/>
  <c r="Q338" i="1"/>
  <c r="M338" i="1"/>
  <c r="G338" i="1"/>
  <c r="Q337" i="1"/>
  <c r="M337" i="1"/>
  <c r="G337" i="1"/>
  <c r="Q336" i="1"/>
  <c r="M336" i="1"/>
  <c r="G336" i="1"/>
  <c r="Q335" i="1"/>
  <c r="M335" i="1"/>
  <c r="G335" i="1"/>
  <c r="Q334" i="1"/>
  <c r="M334" i="1"/>
  <c r="G334" i="1"/>
  <c r="A334" i="1"/>
  <c r="A335" i="1" s="1"/>
  <c r="A336" i="1" s="1"/>
  <c r="A337" i="1" s="1"/>
  <c r="A338" i="1" s="1"/>
  <c r="A339" i="1" s="1"/>
  <c r="A340" i="1" s="1"/>
  <c r="O333" i="1"/>
  <c r="M333" i="1"/>
  <c r="G333" i="1"/>
  <c r="Q332" i="1"/>
  <c r="M332" i="1"/>
  <c r="G332" i="1"/>
  <c r="O331" i="1"/>
  <c r="M331" i="1"/>
  <c r="G331" i="1"/>
  <c r="Q330" i="1"/>
  <c r="M330" i="1"/>
  <c r="G330" i="1"/>
  <c r="Q329" i="1"/>
  <c r="M329" i="1"/>
  <c r="G329" i="1"/>
  <c r="O328" i="1"/>
  <c r="M328" i="1"/>
  <c r="G328" i="1"/>
  <c r="O327" i="1"/>
  <c r="M327" i="1"/>
  <c r="G327" i="1"/>
  <c r="Q326" i="1"/>
  <c r="M326" i="1"/>
  <c r="G326" i="1"/>
  <c r="O325" i="1"/>
  <c r="Q325" i="1" s="1"/>
  <c r="M325" i="1"/>
  <c r="G325" i="1"/>
  <c r="Q324" i="1"/>
  <c r="M324" i="1"/>
  <c r="G324" i="1"/>
  <c r="O323" i="1"/>
  <c r="M323" i="1"/>
  <c r="G323" i="1"/>
  <c r="Q322" i="1"/>
  <c r="M322" i="1"/>
  <c r="G322" i="1"/>
  <c r="O321" i="1"/>
  <c r="M321" i="1"/>
  <c r="G321" i="1"/>
  <c r="O320" i="1"/>
  <c r="M320" i="1"/>
  <c r="E320" i="1"/>
  <c r="O319" i="1"/>
  <c r="Q319" i="1" s="1"/>
  <c r="M319" i="1"/>
  <c r="G319" i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O318" i="1"/>
  <c r="M318" i="1"/>
  <c r="E318" i="1"/>
  <c r="Q317" i="1"/>
  <c r="M317" i="1"/>
  <c r="G317" i="1"/>
  <c r="Q316" i="1"/>
  <c r="M316" i="1"/>
  <c r="G316" i="1"/>
  <c r="Q315" i="1"/>
  <c r="M315" i="1"/>
  <c r="G315" i="1"/>
  <c r="A315" i="1"/>
  <c r="O314" i="1"/>
  <c r="M314" i="1"/>
  <c r="G314" i="1"/>
  <c r="Q313" i="1"/>
  <c r="M313" i="1"/>
  <c r="G313" i="1"/>
  <c r="O312" i="1"/>
  <c r="M312" i="1"/>
  <c r="G312" i="1"/>
  <c r="A312" i="1"/>
  <c r="A313" i="1" s="1"/>
  <c r="Q311" i="1"/>
  <c r="M311" i="1"/>
  <c r="G311" i="1"/>
  <c r="Q310" i="1"/>
  <c r="M310" i="1"/>
  <c r="G310" i="1"/>
  <c r="Q309" i="1"/>
  <c r="M309" i="1"/>
  <c r="G309" i="1"/>
  <c r="Q308" i="1"/>
  <c r="M308" i="1"/>
  <c r="G308" i="1"/>
  <c r="Q307" i="1"/>
  <c r="M307" i="1"/>
  <c r="G307" i="1"/>
  <c r="A307" i="1"/>
  <c r="A308" i="1" s="1"/>
  <c r="A309" i="1" s="1"/>
  <c r="A310" i="1" s="1"/>
  <c r="Q306" i="1"/>
  <c r="M306" i="1"/>
  <c r="G306" i="1"/>
  <c r="Q305" i="1"/>
  <c r="M305" i="1"/>
  <c r="G305" i="1"/>
  <c r="A305" i="1"/>
  <c r="Q304" i="1"/>
  <c r="M304" i="1"/>
  <c r="G304" i="1"/>
  <c r="Q303" i="1"/>
  <c r="M303" i="1"/>
  <c r="G303" i="1"/>
  <c r="Q302" i="1"/>
  <c r="M302" i="1"/>
  <c r="G302" i="1"/>
  <c r="Q301" i="1"/>
  <c r="M301" i="1"/>
  <c r="G301" i="1"/>
  <c r="Q300" i="1"/>
  <c r="M300" i="1"/>
  <c r="G300" i="1"/>
  <c r="O299" i="1"/>
  <c r="M299" i="1"/>
  <c r="G299" i="1"/>
  <c r="Q298" i="1"/>
  <c r="M298" i="1"/>
  <c r="G298" i="1"/>
  <c r="Q297" i="1"/>
  <c r="M297" i="1"/>
  <c r="G297" i="1"/>
  <c r="Q296" i="1"/>
  <c r="M296" i="1"/>
  <c r="G296" i="1"/>
  <c r="Q295" i="1"/>
  <c r="M295" i="1"/>
  <c r="G295" i="1"/>
  <c r="Q294" i="1"/>
  <c r="M294" i="1"/>
  <c r="G294" i="1"/>
  <c r="Q293" i="1"/>
  <c r="M293" i="1"/>
  <c r="H293" i="1"/>
  <c r="G293" i="1"/>
  <c r="Q292" i="1"/>
  <c r="M292" i="1"/>
  <c r="G292" i="1"/>
  <c r="Q291" i="1"/>
  <c r="M291" i="1"/>
  <c r="G291" i="1"/>
  <c r="Q290" i="1"/>
  <c r="M290" i="1"/>
  <c r="G290" i="1"/>
  <c r="Q289" i="1"/>
  <c r="M289" i="1"/>
  <c r="G289" i="1"/>
  <c r="O288" i="1"/>
  <c r="M288" i="1"/>
  <c r="G288" i="1"/>
  <c r="O287" i="1"/>
  <c r="M287" i="1"/>
  <c r="E287" i="1"/>
  <c r="A287" i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O286" i="1"/>
  <c r="M286" i="1"/>
  <c r="G286" i="1"/>
  <c r="Q285" i="1"/>
  <c r="M285" i="1"/>
  <c r="G285" i="1"/>
  <c r="Q284" i="1"/>
  <c r="M284" i="1"/>
  <c r="G284" i="1"/>
  <c r="Q283" i="1"/>
  <c r="M283" i="1"/>
  <c r="G283" i="1"/>
  <c r="Q282" i="1"/>
  <c r="M282" i="1"/>
  <c r="G282" i="1"/>
  <c r="A282" i="1"/>
  <c r="A283" i="1" s="1"/>
  <c r="A284" i="1" s="1"/>
  <c r="A285" i="1" s="1"/>
  <c r="Q281" i="1"/>
  <c r="M281" i="1"/>
  <c r="G281" i="1"/>
  <c r="Q280" i="1"/>
  <c r="M280" i="1"/>
  <c r="G280" i="1"/>
  <c r="Q279" i="1"/>
  <c r="M279" i="1"/>
  <c r="G279" i="1"/>
  <c r="Q278" i="1"/>
  <c r="M278" i="1"/>
  <c r="G278" i="1"/>
  <c r="Q277" i="1"/>
  <c r="M277" i="1"/>
  <c r="G277" i="1"/>
  <c r="Q276" i="1"/>
  <c r="M276" i="1"/>
  <c r="G276" i="1"/>
  <c r="Q275" i="1"/>
  <c r="M275" i="1"/>
  <c r="G275" i="1"/>
  <c r="Q274" i="1"/>
  <c r="M274" i="1"/>
  <c r="G274" i="1"/>
  <c r="Q273" i="1"/>
  <c r="M273" i="1"/>
  <c r="G273" i="1"/>
  <c r="Q272" i="1"/>
  <c r="M272" i="1"/>
  <c r="G272" i="1"/>
  <c r="Q271" i="1"/>
  <c r="M271" i="1"/>
  <c r="G271" i="1"/>
  <c r="O270" i="1"/>
  <c r="M270" i="1"/>
  <c r="G270" i="1"/>
  <c r="Q269" i="1"/>
  <c r="M269" i="1"/>
  <c r="G269" i="1"/>
  <c r="Q268" i="1"/>
  <c r="M268" i="1"/>
  <c r="G268" i="1"/>
  <c r="Q267" i="1"/>
  <c r="M267" i="1"/>
  <c r="G267" i="1"/>
  <c r="O266" i="1"/>
  <c r="M266" i="1"/>
  <c r="G266" i="1"/>
  <c r="Q265" i="1"/>
  <c r="M265" i="1"/>
  <c r="G265" i="1"/>
  <c r="Q264" i="1"/>
  <c r="M264" i="1"/>
  <c r="G264" i="1"/>
  <c r="Q263" i="1"/>
  <c r="M263" i="1"/>
  <c r="G263" i="1"/>
  <c r="Q262" i="1"/>
  <c r="M262" i="1"/>
  <c r="G262" i="1"/>
  <c r="Q261" i="1"/>
  <c r="M261" i="1"/>
  <c r="G261" i="1"/>
  <c r="Q260" i="1"/>
  <c r="M260" i="1"/>
  <c r="G260" i="1"/>
  <c r="Q259" i="1"/>
  <c r="M259" i="1"/>
  <c r="G259" i="1"/>
  <c r="Q258" i="1"/>
  <c r="M258" i="1"/>
  <c r="G258" i="1"/>
  <c r="A258" i="1"/>
  <c r="O257" i="1"/>
  <c r="Q257" i="1" s="1"/>
  <c r="M257" i="1"/>
  <c r="G257" i="1"/>
  <c r="Q256" i="1"/>
  <c r="M256" i="1"/>
  <c r="G256" i="1"/>
  <c r="A256" i="1"/>
  <c r="Q255" i="1"/>
  <c r="M255" i="1"/>
  <c r="G255" i="1"/>
  <c r="Q254" i="1"/>
  <c r="M254" i="1"/>
  <c r="G254" i="1"/>
  <c r="Q253" i="1"/>
  <c r="M253" i="1"/>
  <c r="G253" i="1"/>
  <c r="Q252" i="1"/>
  <c r="M252" i="1"/>
  <c r="G252" i="1"/>
  <c r="A252" i="1"/>
  <c r="A253" i="1" s="1"/>
  <c r="A254" i="1" s="1"/>
  <c r="Q251" i="1"/>
  <c r="M251" i="1"/>
  <c r="G251" i="1"/>
  <c r="Q250" i="1"/>
  <c r="M250" i="1"/>
  <c r="G250" i="1"/>
  <c r="Q249" i="1"/>
  <c r="M249" i="1"/>
  <c r="G249" i="1"/>
  <c r="Q248" i="1"/>
  <c r="M248" i="1"/>
  <c r="G248" i="1"/>
  <c r="Q247" i="1"/>
  <c r="M247" i="1"/>
  <c r="G247" i="1"/>
  <c r="Q246" i="1"/>
  <c r="M246" i="1"/>
  <c r="G246" i="1"/>
  <c r="A246" i="1"/>
  <c r="A247" i="1" s="1"/>
  <c r="A248" i="1" s="1"/>
  <c r="A249" i="1" s="1"/>
  <c r="A250" i="1" s="1"/>
  <c r="Q245" i="1"/>
  <c r="M245" i="1"/>
  <c r="G245" i="1"/>
  <c r="Q244" i="1"/>
  <c r="M244" i="1"/>
  <c r="G244" i="1"/>
  <c r="Q243" i="1"/>
  <c r="M243" i="1"/>
  <c r="G243" i="1"/>
  <c r="Q242" i="1"/>
  <c r="M242" i="1"/>
  <c r="G242" i="1"/>
  <c r="Q241" i="1"/>
  <c r="M241" i="1"/>
  <c r="G241" i="1"/>
  <c r="Q240" i="1"/>
  <c r="M240" i="1"/>
  <c r="G240" i="1"/>
  <c r="Q239" i="1"/>
  <c r="M239" i="1"/>
  <c r="G239" i="1"/>
  <c r="Q238" i="1"/>
  <c r="M238" i="1"/>
  <c r="G238" i="1"/>
  <c r="Q237" i="1"/>
  <c r="M237" i="1"/>
  <c r="G237" i="1"/>
  <c r="Q236" i="1"/>
  <c r="M236" i="1"/>
  <c r="G236" i="1"/>
  <c r="Q235" i="1"/>
  <c r="M235" i="1"/>
  <c r="G235" i="1"/>
  <c r="Q234" i="1"/>
  <c r="M234" i="1"/>
  <c r="G234" i="1"/>
  <c r="Q233" i="1"/>
  <c r="M233" i="1"/>
  <c r="G233" i="1"/>
  <c r="Q232" i="1"/>
  <c r="M232" i="1"/>
  <c r="G232" i="1"/>
  <c r="Q231" i="1"/>
  <c r="M231" i="1"/>
  <c r="G231" i="1"/>
  <c r="Q230" i="1"/>
  <c r="M230" i="1"/>
  <c r="G230" i="1"/>
  <c r="Q229" i="1"/>
  <c r="M229" i="1"/>
  <c r="G229" i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Q228" i="1"/>
  <c r="M228" i="1"/>
  <c r="G228" i="1"/>
  <c r="Q227" i="1"/>
  <c r="M227" i="1"/>
  <c r="I227" i="1"/>
  <c r="G227" i="1"/>
  <c r="Q226" i="1"/>
  <c r="M226" i="1"/>
  <c r="G226" i="1"/>
  <c r="Q225" i="1"/>
  <c r="M225" i="1"/>
  <c r="G225" i="1"/>
  <c r="O224" i="1"/>
  <c r="M224" i="1"/>
  <c r="G224" i="1"/>
  <c r="Q223" i="1"/>
  <c r="M223" i="1"/>
  <c r="G223" i="1"/>
  <c r="Q222" i="1"/>
  <c r="M222" i="1"/>
  <c r="G222" i="1"/>
  <c r="Q221" i="1"/>
  <c r="M221" i="1"/>
  <c r="G221" i="1"/>
  <c r="Q220" i="1"/>
  <c r="M220" i="1"/>
  <c r="G220" i="1"/>
  <c r="Q219" i="1"/>
  <c r="M219" i="1"/>
  <c r="G219" i="1"/>
  <c r="Q218" i="1"/>
  <c r="M218" i="1"/>
  <c r="G218" i="1"/>
  <c r="Q217" i="1"/>
  <c r="M217" i="1"/>
  <c r="G217" i="1"/>
  <c r="Q216" i="1"/>
  <c r="M216" i="1"/>
  <c r="G216" i="1"/>
  <c r="Q215" i="1"/>
  <c r="M215" i="1"/>
  <c r="G215" i="1"/>
  <c r="Q214" i="1"/>
  <c r="M214" i="1"/>
  <c r="G214" i="1"/>
  <c r="Q213" i="1"/>
  <c r="M213" i="1"/>
  <c r="G213" i="1"/>
  <c r="Q212" i="1"/>
  <c r="M212" i="1"/>
  <c r="G212" i="1"/>
  <c r="Q211" i="1"/>
  <c r="M211" i="1"/>
  <c r="G211" i="1"/>
  <c r="Q210" i="1"/>
  <c r="M210" i="1"/>
  <c r="G210" i="1"/>
  <c r="O209" i="1"/>
  <c r="M209" i="1"/>
  <c r="G209" i="1"/>
  <c r="Q208" i="1"/>
  <c r="M208" i="1"/>
  <c r="G208" i="1"/>
  <c r="Q207" i="1"/>
  <c r="M207" i="1"/>
  <c r="G207" i="1"/>
  <c r="Q206" i="1"/>
  <c r="M206" i="1"/>
  <c r="G206" i="1"/>
  <c r="Q205" i="1"/>
  <c r="M205" i="1"/>
  <c r="G205" i="1"/>
  <c r="Q204" i="1"/>
  <c r="M204" i="1"/>
  <c r="G204" i="1"/>
  <c r="Q203" i="1"/>
  <c r="M203" i="1"/>
  <c r="G203" i="1"/>
  <c r="Q202" i="1"/>
  <c r="M202" i="1"/>
  <c r="G202" i="1"/>
  <c r="Q201" i="1"/>
  <c r="M201" i="1"/>
  <c r="G201" i="1"/>
  <c r="Q200" i="1"/>
  <c r="M200" i="1"/>
  <c r="G200" i="1"/>
  <c r="Q199" i="1"/>
  <c r="M199" i="1"/>
  <c r="G199" i="1"/>
  <c r="Q198" i="1"/>
  <c r="M198" i="1"/>
  <c r="G198" i="1"/>
  <c r="Q197" i="1"/>
  <c r="M197" i="1"/>
  <c r="G197" i="1"/>
  <c r="Q196" i="1"/>
  <c r="M196" i="1"/>
  <c r="G196" i="1"/>
  <c r="Q195" i="1"/>
  <c r="M195" i="1"/>
  <c r="G195" i="1"/>
  <c r="A195" i="1"/>
  <c r="Q194" i="1"/>
  <c r="M194" i="1"/>
  <c r="G194" i="1"/>
  <c r="Q193" i="1"/>
  <c r="M193" i="1"/>
  <c r="G193" i="1"/>
  <c r="Q192" i="1"/>
  <c r="M192" i="1"/>
  <c r="G192" i="1"/>
  <c r="A192" i="1"/>
  <c r="A193" i="1" s="1"/>
  <c r="Q191" i="1"/>
  <c r="M191" i="1"/>
  <c r="G191" i="1"/>
  <c r="Q190" i="1"/>
  <c r="M190" i="1"/>
  <c r="G190" i="1"/>
  <c r="Q189" i="1"/>
  <c r="M189" i="1"/>
  <c r="G189" i="1"/>
  <c r="Q188" i="1"/>
  <c r="M188" i="1"/>
  <c r="G188" i="1"/>
  <c r="Q187" i="1"/>
  <c r="M187" i="1"/>
  <c r="G187" i="1"/>
  <c r="Q186" i="1"/>
  <c r="M186" i="1"/>
  <c r="G186" i="1"/>
  <c r="A186" i="1"/>
  <c r="A187" i="1" s="1"/>
  <c r="A188" i="1" s="1"/>
  <c r="A189" i="1" s="1"/>
  <c r="Q185" i="1"/>
  <c r="M185" i="1"/>
  <c r="G185" i="1"/>
  <c r="Q184" i="1"/>
  <c r="M184" i="1"/>
  <c r="G184" i="1"/>
  <c r="Q183" i="1"/>
  <c r="M183" i="1"/>
  <c r="G183" i="1"/>
  <c r="Q182" i="1"/>
  <c r="M182" i="1"/>
  <c r="G182" i="1"/>
  <c r="Q181" i="1"/>
  <c r="M181" i="1"/>
  <c r="G181" i="1"/>
  <c r="Q180" i="1"/>
  <c r="M180" i="1"/>
  <c r="G180" i="1"/>
  <c r="Q179" i="1"/>
  <c r="M179" i="1"/>
  <c r="G179" i="1"/>
  <c r="Q178" i="1"/>
  <c r="M178" i="1"/>
  <c r="G178" i="1"/>
  <c r="Q177" i="1"/>
  <c r="M177" i="1"/>
  <c r="G177" i="1"/>
  <c r="Q176" i="1"/>
  <c r="M176" i="1"/>
  <c r="G176" i="1"/>
  <c r="Q175" i="1"/>
  <c r="M175" i="1"/>
  <c r="G175" i="1"/>
  <c r="Q174" i="1"/>
  <c r="M174" i="1"/>
  <c r="G174" i="1"/>
  <c r="Q173" i="1"/>
  <c r="M173" i="1"/>
  <c r="G173" i="1"/>
  <c r="Q172" i="1"/>
  <c r="M172" i="1"/>
  <c r="G172" i="1"/>
  <c r="Q171" i="1"/>
  <c r="M171" i="1"/>
  <c r="G171" i="1"/>
  <c r="Q170" i="1"/>
  <c r="M170" i="1"/>
  <c r="G170" i="1"/>
  <c r="Q169" i="1"/>
  <c r="M169" i="1"/>
  <c r="G169" i="1"/>
  <c r="Q168" i="1"/>
  <c r="M168" i="1"/>
  <c r="G168" i="1"/>
  <c r="Q167" i="1"/>
  <c r="M167" i="1"/>
  <c r="G167" i="1"/>
  <c r="Q166" i="1"/>
  <c r="M166" i="1"/>
  <c r="G166" i="1"/>
  <c r="Q165" i="1"/>
  <c r="M165" i="1"/>
  <c r="G165" i="1"/>
  <c r="Q164" i="1"/>
  <c r="M164" i="1"/>
  <c r="G164" i="1"/>
  <c r="Q163" i="1"/>
  <c r="M163" i="1"/>
  <c r="G163" i="1"/>
  <c r="Q162" i="1"/>
  <c r="M162" i="1"/>
  <c r="G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Q161" i="1"/>
  <c r="M161" i="1"/>
  <c r="G161" i="1"/>
  <c r="Q160" i="1"/>
  <c r="M160" i="1"/>
  <c r="G160" i="1"/>
  <c r="Q159" i="1"/>
  <c r="M159" i="1"/>
  <c r="G159" i="1"/>
  <c r="Q158" i="1"/>
  <c r="M158" i="1"/>
  <c r="G158" i="1"/>
  <c r="Q157" i="1"/>
  <c r="M157" i="1"/>
  <c r="G157" i="1"/>
  <c r="Q156" i="1"/>
  <c r="M156" i="1"/>
  <c r="G156" i="1"/>
  <c r="Q155" i="1"/>
  <c r="M155" i="1"/>
  <c r="G155" i="1"/>
  <c r="Q154" i="1"/>
  <c r="M154" i="1"/>
  <c r="G154" i="1"/>
  <c r="Q153" i="1"/>
  <c r="M153" i="1"/>
  <c r="G153" i="1"/>
  <c r="Q152" i="1"/>
  <c r="M152" i="1"/>
  <c r="G152" i="1"/>
  <c r="Q151" i="1"/>
  <c r="M151" i="1"/>
  <c r="G151" i="1"/>
  <c r="Q150" i="1"/>
  <c r="M150" i="1"/>
  <c r="G150" i="1"/>
  <c r="Q149" i="1"/>
  <c r="M149" i="1"/>
  <c r="G149" i="1"/>
  <c r="Q148" i="1"/>
  <c r="M148" i="1"/>
  <c r="G148" i="1"/>
  <c r="Q147" i="1"/>
  <c r="M147" i="1"/>
  <c r="G147" i="1"/>
  <c r="Q146" i="1"/>
  <c r="M146" i="1"/>
  <c r="G146" i="1"/>
  <c r="Q145" i="1"/>
  <c r="M145" i="1"/>
  <c r="G145" i="1"/>
  <c r="Q144" i="1"/>
  <c r="M144" i="1"/>
  <c r="G144" i="1"/>
  <c r="Q143" i="1"/>
  <c r="M143" i="1"/>
  <c r="G143" i="1"/>
  <c r="Q142" i="1"/>
  <c r="M142" i="1"/>
  <c r="G142" i="1"/>
  <c r="Q141" i="1"/>
  <c r="M141" i="1"/>
  <c r="G141" i="1"/>
  <c r="Q140" i="1"/>
  <c r="M140" i="1"/>
  <c r="G140" i="1"/>
  <c r="Q139" i="1"/>
  <c r="M139" i="1"/>
  <c r="G139" i="1"/>
  <c r="Q138" i="1"/>
  <c r="M138" i="1"/>
  <c r="G138" i="1"/>
  <c r="Q137" i="1"/>
  <c r="M137" i="1"/>
  <c r="G137" i="1"/>
  <c r="Q136" i="1"/>
  <c r="M136" i="1"/>
  <c r="G136" i="1"/>
  <c r="Q135" i="1"/>
  <c r="M135" i="1"/>
  <c r="G135" i="1"/>
  <c r="Q134" i="1"/>
  <c r="M134" i="1"/>
  <c r="G134" i="1"/>
  <c r="Q133" i="1"/>
  <c r="M133" i="1"/>
  <c r="G133" i="1"/>
  <c r="Q132" i="1"/>
  <c r="M132" i="1"/>
  <c r="I132" i="1"/>
  <c r="G132" i="1"/>
  <c r="Q131" i="1"/>
  <c r="M131" i="1"/>
  <c r="G131" i="1"/>
  <c r="Q130" i="1"/>
  <c r="M130" i="1"/>
  <c r="G130" i="1"/>
  <c r="Q129" i="1"/>
  <c r="M129" i="1"/>
  <c r="G129" i="1"/>
  <c r="Q128" i="1"/>
  <c r="L128" i="1"/>
  <c r="K128" i="1"/>
  <c r="J128" i="1"/>
  <c r="G128" i="1"/>
  <c r="Q127" i="1"/>
  <c r="M127" i="1"/>
  <c r="G127" i="1"/>
  <c r="Q126" i="1"/>
  <c r="M126" i="1"/>
  <c r="G126" i="1"/>
  <c r="Q125" i="1"/>
  <c r="M125" i="1"/>
  <c r="G125" i="1"/>
  <c r="Q124" i="1"/>
  <c r="M124" i="1"/>
  <c r="G124" i="1"/>
  <c r="A124" i="1"/>
  <c r="Q123" i="1"/>
  <c r="M123" i="1"/>
  <c r="G123" i="1"/>
  <c r="Q122" i="1"/>
  <c r="M122" i="1"/>
  <c r="I122" i="1"/>
  <c r="G122" i="1"/>
  <c r="Q121" i="1"/>
  <c r="M121" i="1"/>
  <c r="G121" i="1"/>
  <c r="A121" i="1"/>
  <c r="O120" i="1"/>
  <c r="M120" i="1"/>
  <c r="E120" i="1"/>
  <c r="Q119" i="1"/>
  <c r="M119" i="1"/>
  <c r="G119" i="1"/>
  <c r="Q118" i="1"/>
  <c r="M118" i="1"/>
  <c r="G118" i="1"/>
  <c r="Q117" i="1"/>
  <c r="M117" i="1"/>
  <c r="G117" i="1"/>
  <c r="Q116" i="1"/>
  <c r="M116" i="1"/>
  <c r="G116" i="1"/>
  <c r="A116" i="1"/>
  <c r="A117" i="1" s="1"/>
  <c r="A118" i="1" s="1"/>
  <c r="A119" i="1" s="1"/>
  <c r="Q115" i="1"/>
  <c r="M115" i="1"/>
  <c r="G115" i="1"/>
  <c r="Q114" i="1"/>
  <c r="M114" i="1"/>
  <c r="G114" i="1"/>
  <c r="O113" i="1"/>
  <c r="M113" i="1"/>
  <c r="G113" i="1"/>
  <c r="Q112" i="1"/>
  <c r="M112" i="1"/>
  <c r="G112" i="1"/>
  <c r="Q111" i="1"/>
  <c r="M111" i="1"/>
  <c r="G111" i="1"/>
  <c r="Q110" i="1"/>
  <c r="M110" i="1"/>
  <c r="G110" i="1"/>
  <c r="Q109" i="1"/>
  <c r="M109" i="1"/>
  <c r="G109" i="1"/>
  <c r="Q108" i="1"/>
  <c r="M108" i="1"/>
  <c r="G108" i="1"/>
  <c r="Q107" i="1"/>
  <c r="M107" i="1"/>
  <c r="G107" i="1"/>
  <c r="O106" i="1"/>
  <c r="M106" i="1"/>
  <c r="G106" i="1"/>
  <c r="Q105" i="1"/>
  <c r="M105" i="1"/>
  <c r="G105" i="1"/>
  <c r="Q104" i="1"/>
  <c r="M104" i="1"/>
  <c r="G104" i="1"/>
  <c r="O103" i="1"/>
  <c r="M103" i="1"/>
  <c r="G103" i="1"/>
  <c r="Q102" i="1"/>
  <c r="M102" i="1"/>
  <c r="G102" i="1"/>
  <c r="P101" i="1"/>
  <c r="M101" i="1"/>
  <c r="G101" i="1"/>
  <c r="O100" i="1"/>
  <c r="Q100" i="1" s="1"/>
  <c r="M100" i="1"/>
  <c r="G100" i="1"/>
  <c r="O99" i="1"/>
  <c r="M99" i="1"/>
  <c r="G99" i="1"/>
  <c r="Q98" i="1"/>
  <c r="M98" i="1"/>
  <c r="G98" i="1"/>
  <c r="Q97" i="1"/>
  <c r="M97" i="1"/>
  <c r="G97" i="1"/>
  <c r="O96" i="1"/>
  <c r="Q96" i="1" s="1"/>
  <c r="M96" i="1"/>
  <c r="G96" i="1"/>
  <c r="Q95" i="1"/>
  <c r="M95" i="1"/>
  <c r="G95" i="1"/>
  <c r="O94" i="1"/>
  <c r="M94" i="1"/>
  <c r="G94" i="1"/>
  <c r="Q93" i="1"/>
  <c r="M93" i="1"/>
  <c r="G93" i="1"/>
  <c r="O92" i="1"/>
  <c r="M92" i="1"/>
  <c r="G92" i="1"/>
  <c r="A92" i="1"/>
  <c r="A93" i="1" s="1"/>
  <c r="O91" i="1"/>
  <c r="M91" i="1"/>
  <c r="G91" i="1"/>
  <c r="O90" i="1"/>
  <c r="Q90" i="1" s="1"/>
  <c r="M90" i="1"/>
  <c r="G90" i="1"/>
  <c r="O89" i="1"/>
  <c r="Q89" i="1" s="1"/>
  <c r="M89" i="1"/>
  <c r="G89" i="1"/>
  <c r="Q88" i="1"/>
  <c r="M88" i="1"/>
  <c r="G88" i="1"/>
  <c r="Q87" i="1"/>
  <c r="M87" i="1"/>
  <c r="G87" i="1"/>
  <c r="O86" i="1"/>
  <c r="M86" i="1"/>
  <c r="G86" i="1"/>
  <c r="Q85" i="1"/>
  <c r="M85" i="1"/>
  <c r="G85" i="1"/>
  <c r="Q84" i="1"/>
  <c r="M84" i="1"/>
  <c r="G84" i="1"/>
  <c r="O83" i="1"/>
  <c r="Q83" i="1" s="1"/>
  <c r="M83" i="1"/>
  <c r="G83" i="1"/>
  <c r="O82" i="1"/>
  <c r="Q82" i="1" s="1"/>
  <c r="M82" i="1"/>
  <c r="G82" i="1"/>
  <c r="Q81" i="1"/>
  <c r="M81" i="1"/>
  <c r="G81" i="1"/>
  <c r="O80" i="1"/>
  <c r="Q80" i="1" s="1"/>
  <c r="M80" i="1"/>
  <c r="G80" i="1"/>
  <c r="O79" i="1"/>
  <c r="M79" i="1"/>
  <c r="G79" i="1"/>
  <c r="O78" i="1"/>
  <c r="M78" i="1"/>
  <c r="G78" i="1"/>
  <c r="Q77" i="1"/>
  <c r="M77" i="1"/>
  <c r="G77" i="1"/>
  <c r="Q76" i="1"/>
  <c r="M76" i="1"/>
  <c r="G76" i="1"/>
  <c r="O75" i="1"/>
  <c r="M75" i="1"/>
  <c r="G75" i="1"/>
  <c r="O74" i="1"/>
  <c r="M74" i="1"/>
  <c r="G74" i="1"/>
  <c r="O73" i="1"/>
  <c r="M73" i="1"/>
  <c r="G73" i="1"/>
  <c r="Q72" i="1"/>
  <c r="M72" i="1"/>
  <c r="G72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O71" i="1"/>
  <c r="M71" i="1"/>
  <c r="G71" i="1"/>
  <c r="Q70" i="1"/>
  <c r="M70" i="1"/>
  <c r="G70" i="1"/>
  <c r="Q69" i="1"/>
  <c r="M69" i="1"/>
  <c r="G69" i="1"/>
  <c r="Q68" i="1"/>
  <c r="M68" i="1"/>
  <c r="I68" i="1"/>
  <c r="G68" i="1"/>
  <c r="Q67" i="1"/>
  <c r="N67" i="1"/>
  <c r="L67" i="1"/>
  <c r="G67" i="1"/>
  <c r="A67" i="1"/>
  <c r="A68" i="1" s="1"/>
  <c r="A69" i="1" s="1"/>
  <c r="A70" i="1" s="1"/>
  <c r="Q66" i="1"/>
  <c r="M66" i="1"/>
  <c r="G66" i="1"/>
  <c r="Q65" i="1"/>
  <c r="M65" i="1"/>
  <c r="J65" i="1"/>
  <c r="G65" i="1"/>
  <c r="Q64" i="1"/>
  <c r="M64" i="1"/>
  <c r="G64" i="1"/>
  <c r="Q63" i="1"/>
  <c r="M63" i="1"/>
  <c r="G63" i="1"/>
  <c r="Q62" i="1"/>
  <c r="M62" i="1"/>
  <c r="G62" i="1"/>
  <c r="O61" i="1"/>
  <c r="M61" i="1"/>
  <c r="G61" i="1"/>
  <c r="Q60" i="1"/>
  <c r="M60" i="1"/>
  <c r="J60" i="1"/>
  <c r="G60" i="1"/>
  <c r="O59" i="1"/>
  <c r="M59" i="1"/>
  <c r="G59" i="1"/>
  <c r="Q58" i="1"/>
  <c r="M58" i="1"/>
  <c r="G58" i="1"/>
  <c r="Q57" i="1"/>
  <c r="M57" i="1"/>
  <c r="G57" i="1"/>
  <c r="Q56" i="1"/>
  <c r="M56" i="1"/>
  <c r="G56" i="1"/>
  <c r="Q55" i="1"/>
  <c r="M55" i="1"/>
  <c r="G55" i="1"/>
  <c r="Q54" i="1"/>
  <c r="M54" i="1"/>
  <c r="G54" i="1"/>
  <c r="Q53" i="1"/>
  <c r="M53" i="1"/>
  <c r="G53" i="1"/>
  <c r="Q52" i="1"/>
  <c r="M52" i="1"/>
  <c r="G52" i="1"/>
  <c r="Q51" i="1"/>
  <c r="M51" i="1"/>
  <c r="G51" i="1"/>
  <c r="Q50" i="1"/>
  <c r="M50" i="1"/>
  <c r="G50" i="1"/>
  <c r="Q49" i="1"/>
  <c r="M49" i="1"/>
  <c r="G49" i="1"/>
  <c r="Q48" i="1"/>
  <c r="M48" i="1"/>
  <c r="I48" i="1"/>
  <c r="G48" i="1"/>
  <c r="Q47" i="1"/>
  <c r="M47" i="1"/>
  <c r="G47" i="1"/>
  <c r="Q46" i="1"/>
  <c r="M46" i="1"/>
  <c r="G46" i="1"/>
  <c r="Q45" i="1"/>
  <c r="M45" i="1"/>
  <c r="G45" i="1"/>
  <c r="O44" i="1"/>
  <c r="M44" i="1"/>
  <c r="G44" i="1"/>
  <c r="O43" i="1"/>
  <c r="Q43" i="1" s="1"/>
  <c r="M43" i="1"/>
  <c r="G43" i="1"/>
  <c r="Q42" i="1"/>
  <c r="M42" i="1"/>
  <c r="G42" i="1"/>
  <c r="Q41" i="1"/>
  <c r="M41" i="1"/>
  <c r="G41" i="1"/>
  <c r="O40" i="1"/>
  <c r="M40" i="1"/>
  <c r="G40" i="1"/>
  <c r="Q39" i="1"/>
  <c r="M39" i="1"/>
  <c r="G39" i="1"/>
  <c r="Q38" i="1"/>
  <c r="M38" i="1"/>
  <c r="G38" i="1"/>
  <c r="Q37" i="1"/>
  <c r="M37" i="1"/>
  <c r="G37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Q36" i="1"/>
  <c r="M36" i="1"/>
  <c r="G36" i="1"/>
  <c r="Q35" i="1"/>
  <c r="M35" i="1"/>
  <c r="G35" i="1"/>
  <c r="Q34" i="1"/>
  <c r="M34" i="1"/>
  <c r="G34" i="1"/>
  <c r="Q33" i="1"/>
  <c r="M33" i="1"/>
  <c r="G33" i="1"/>
  <c r="Q32" i="1"/>
  <c r="M32" i="1"/>
  <c r="G32" i="1"/>
  <c r="A32" i="1"/>
  <c r="A33" i="1" s="1"/>
  <c r="A34" i="1" s="1"/>
  <c r="A35" i="1" s="1"/>
  <c r="Q31" i="1"/>
  <c r="M31" i="1"/>
  <c r="G31" i="1"/>
  <c r="Q30" i="1"/>
  <c r="M30" i="1"/>
  <c r="G30" i="1"/>
  <c r="A30" i="1"/>
  <c r="Q29" i="1"/>
  <c r="M29" i="1"/>
  <c r="G29" i="1"/>
  <c r="Q28" i="1"/>
  <c r="M28" i="1"/>
  <c r="G28" i="1"/>
  <c r="A28" i="1"/>
  <c r="Q27" i="1"/>
  <c r="M27" i="1"/>
  <c r="G27" i="1"/>
  <c r="Q26" i="1"/>
  <c r="M26" i="1"/>
  <c r="G26" i="1"/>
  <c r="Q25" i="1"/>
  <c r="M25" i="1"/>
  <c r="G25" i="1"/>
  <c r="Q24" i="1"/>
  <c r="M24" i="1"/>
  <c r="G24" i="1"/>
  <c r="Q23" i="1"/>
  <c r="M23" i="1"/>
  <c r="G23" i="1"/>
  <c r="Q22" i="1"/>
  <c r="M22" i="1"/>
  <c r="G22" i="1"/>
  <c r="Q21" i="1"/>
  <c r="M21" i="1"/>
  <c r="G21" i="1"/>
  <c r="Q20" i="1"/>
  <c r="M20" i="1"/>
  <c r="G20" i="1"/>
  <c r="O19" i="1"/>
  <c r="Q19" i="1" s="1"/>
  <c r="M19" i="1"/>
  <c r="G19" i="1"/>
  <c r="Q18" i="1"/>
  <c r="M18" i="1"/>
  <c r="G18" i="1"/>
  <c r="Q17" i="1"/>
  <c r="M17" i="1"/>
  <c r="G17" i="1"/>
  <c r="Q16" i="1"/>
  <c r="M16" i="1"/>
  <c r="G16" i="1"/>
  <c r="Q15" i="1"/>
  <c r="M15" i="1"/>
  <c r="G15" i="1"/>
  <c r="Q14" i="1"/>
  <c r="M14" i="1"/>
  <c r="G14" i="1"/>
  <c r="Q13" i="1"/>
  <c r="M13" i="1"/>
  <c r="J13" i="1"/>
  <c r="G13" i="1"/>
  <c r="Q12" i="1"/>
  <c r="M12" i="1"/>
  <c r="G12" i="1"/>
  <c r="Q11" i="1"/>
  <c r="M11" i="1"/>
  <c r="G11" i="1"/>
  <c r="Q10" i="1"/>
  <c r="M10" i="1"/>
  <c r="G10" i="1"/>
  <c r="Q9" i="1"/>
  <c r="M9" i="1"/>
  <c r="G9" i="1"/>
  <c r="Q8" i="1"/>
  <c r="M8" i="1"/>
  <c r="G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Q7" i="1"/>
  <c r="M7" i="1"/>
  <c r="H7" i="1"/>
  <c r="G7" i="1"/>
  <c r="Q6" i="1"/>
  <c r="M6" i="1"/>
  <c r="G6" i="1"/>
  <c r="A6" i="1"/>
  <c r="Q5" i="1"/>
  <c r="M5" i="1"/>
  <c r="G5" i="1"/>
  <c r="Q4" i="1"/>
  <c r="M4" i="1"/>
  <c r="G4" i="1"/>
  <c r="O3" i="1"/>
  <c r="M3" i="1"/>
  <c r="G3" i="1"/>
  <c r="A3" i="1"/>
  <c r="A4" i="1" s="1"/>
  <c r="O2" i="1"/>
  <c r="Q2" i="1" s="1"/>
  <c r="M2" i="1"/>
  <c r="G2" i="1"/>
  <c r="Q344" i="1" l="1"/>
  <c r="Q103" i="1"/>
  <c r="Q113" i="1"/>
  <c r="Q314" i="1"/>
  <c r="Q333" i="1"/>
  <c r="Q426" i="1"/>
  <c r="Q327" i="1"/>
  <c r="Q380" i="1"/>
  <c r="Q352" i="1"/>
  <c r="Q350" i="1"/>
  <c r="G120" i="1"/>
  <c r="Q414" i="1"/>
  <c r="Q444" i="1"/>
  <c r="Q489" i="1"/>
  <c r="Q78" i="1"/>
  <c r="G369" i="1"/>
  <c r="Q59" i="1"/>
  <c r="Q120" i="1"/>
  <c r="Q320" i="1"/>
  <c r="A374" i="1"/>
  <c r="A375" i="1" s="1"/>
  <c r="A376" i="1" s="1"/>
  <c r="A377" i="1" s="1"/>
  <c r="A378" i="1" s="1"/>
  <c r="A379" i="1" s="1"/>
  <c r="A380" i="1" s="1"/>
  <c r="Q44" i="1"/>
  <c r="Q99" i="1"/>
  <c r="Q462" i="1"/>
  <c r="G488" i="1"/>
  <c r="Q40" i="1"/>
  <c r="Q106" i="1"/>
  <c r="M128" i="1"/>
  <c r="Q312" i="1"/>
  <c r="Q433" i="1"/>
  <c r="Q288" i="1"/>
  <c r="Q393" i="1"/>
  <c r="G320" i="1"/>
  <c r="Q437" i="1"/>
  <c r="Q299" i="1"/>
  <c r="Q412" i="1"/>
  <c r="Q331" i="1"/>
  <c r="Q74" i="1"/>
  <c r="Q71" i="1"/>
  <c r="Q79" i="1"/>
  <c r="M67" i="1"/>
  <c r="Q86" i="1"/>
  <c r="Q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Q92" i="1"/>
  <c r="Q75" i="1"/>
  <c r="Q61" i="1"/>
  <c r="Q94" i="1"/>
  <c r="A190" i="1"/>
  <c r="Q73" i="1"/>
  <c r="Q91" i="1"/>
  <c r="Q101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2" i="1"/>
  <c r="Q266" i="1"/>
  <c r="Q209" i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Q224" i="1"/>
  <c r="Q318" i="1"/>
  <c r="Q270" i="1"/>
  <c r="A367" i="1"/>
  <c r="A368" i="1" s="1"/>
  <c r="A369" i="1" s="1"/>
  <c r="A370" i="1" s="1"/>
  <c r="A371" i="1" s="1"/>
  <c r="Q286" i="1"/>
  <c r="G287" i="1"/>
  <c r="Q323" i="1"/>
  <c r="A316" i="1"/>
  <c r="A317" i="1" s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348" i="1"/>
  <c r="A349" i="1" s="1"/>
  <c r="A350" i="1" s="1"/>
  <c r="A351" i="1" s="1"/>
  <c r="A352" i="1" s="1"/>
  <c r="A353" i="1" s="1"/>
  <c r="A354" i="1" s="1"/>
  <c r="A355" i="1" s="1"/>
  <c r="A356" i="1" s="1"/>
  <c r="A357" i="1" s="1"/>
  <c r="Q321" i="1"/>
  <c r="A344" i="1"/>
  <c r="A345" i="1" s="1"/>
  <c r="G343" i="1"/>
  <c r="A419" i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Q287" i="1"/>
  <c r="G318" i="1"/>
  <c r="Q328" i="1"/>
  <c r="Q363" i="1"/>
  <c r="Q370" i="1"/>
  <c r="Q392" i="1"/>
  <c r="Q416" i="1"/>
  <c r="Q374" i="1"/>
  <c r="Q413" i="1"/>
  <c r="G374" i="1"/>
  <c r="A397" i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Q442" i="1"/>
  <c r="A432" i="1"/>
  <c r="A433" i="1" s="1"/>
  <c r="A434" i="1" s="1"/>
  <c r="A435" i="1" s="1"/>
  <c r="A436" i="1" s="1"/>
  <c r="A437" i="1" s="1"/>
  <c r="A438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Q353" i="1"/>
  <c r="G363" i="1"/>
  <c r="Q428" i="1"/>
  <c r="Q446" i="1"/>
  <c r="Q480" i="1"/>
  <c r="Q488" i="1"/>
  <c r="Q457" i="1"/>
  <c r="Q464" i="1"/>
  <c r="Q520" i="1"/>
  <c r="Q490" i="1"/>
  <c r="A534" i="1"/>
  <c r="A535" i="1" s="1"/>
</calcChain>
</file>

<file path=xl/sharedStrings.xml><?xml version="1.0" encoding="utf-8"?>
<sst xmlns="http://schemas.openxmlformats.org/spreadsheetml/2006/main" count="1086" uniqueCount="1086">
  <si>
    <t>SR.</t>
  </si>
  <si>
    <t>SYMBOL</t>
  </si>
  <si>
    <t>EQUITY</t>
  </si>
  <si>
    <t>TAXATION</t>
  </si>
  <si>
    <t>CAPITAL</t>
  </si>
  <si>
    <t>CASH</t>
  </si>
  <si>
    <t>NAME OF COMPANY</t>
  </si>
  <si>
    <t>TOTAL INCOME</t>
  </si>
  <si>
    <t>HGFA</t>
  </si>
  <si>
    <t xml:space="preserve">HBL Growth Fund </t>
  </si>
  <si>
    <t>HIFA</t>
  </si>
  <si>
    <t>HBL Investment Fund</t>
  </si>
  <si>
    <t>TSMF</t>
  </si>
  <si>
    <t>Tri - Star Mutual Fund Limited</t>
  </si>
  <si>
    <t>INMF</t>
  </si>
  <si>
    <t>Investec Mutual Fund Limited</t>
  </si>
  <si>
    <t>PUDF</t>
  </si>
  <si>
    <t>Prudential Stocks Fund Limited</t>
  </si>
  <si>
    <t>BFMOD</t>
  </si>
  <si>
    <t>B. F. Modaraba</t>
  </si>
  <si>
    <t>FANM</t>
  </si>
  <si>
    <t>First Al - Noor Modaraba</t>
  </si>
  <si>
    <t>FCONM</t>
  </si>
  <si>
    <t xml:space="preserve">First Constellation Modaraba </t>
  </si>
  <si>
    <t>FECM</t>
  </si>
  <si>
    <t>First Elite Capital Modaraba</t>
  </si>
  <si>
    <t>FEM</t>
  </si>
  <si>
    <t>First Equity Modaraba</t>
  </si>
  <si>
    <t>FFLM</t>
  </si>
  <si>
    <t>First Fidelity Leasing Modaraba</t>
  </si>
  <si>
    <t>FHAM</t>
  </si>
  <si>
    <t xml:space="preserve">First Habib Modaraba </t>
  </si>
  <si>
    <t>FIBLM</t>
  </si>
  <si>
    <t>First IBL Modaraba</t>
  </si>
  <si>
    <t>FIMM</t>
  </si>
  <si>
    <t>First Imrooz Modaraba</t>
  </si>
  <si>
    <t>FPJM</t>
  </si>
  <si>
    <t>First Punjab Modaraba</t>
  </si>
  <si>
    <t>FPRM</t>
  </si>
  <si>
    <t>First Paramount Modaraba</t>
  </si>
  <si>
    <t>FTMM</t>
  </si>
  <si>
    <t>First Treet Manufacturing Modaraba</t>
  </si>
  <si>
    <t>FTSM</t>
  </si>
  <si>
    <t>First Tri - Star Modaraba</t>
  </si>
  <si>
    <t>PMI</t>
  </si>
  <si>
    <t>First Prudential Modaraba</t>
  </si>
  <si>
    <t>PIM</t>
  </si>
  <si>
    <t>Popular Islamic Modaraba</t>
  </si>
  <si>
    <t>ORM</t>
  </si>
  <si>
    <t>Orient Rental Modaraba</t>
  </si>
  <si>
    <t>OLPM</t>
  </si>
  <si>
    <t>OLP Modaraba</t>
  </si>
  <si>
    <t>SINDM</t>
  </si>
  <si>
    <t>Sindh Modaraba</t>
  </si>
  <si>
    <t>TRSM</t>
  </si>
  <si>
    <t>Trust Modaraba</t>
  </si>
  <si>
    <t>UCAPM</t>
  </si>
  <si>
    <t>Unicap Modaraba</t>
  </si>
  <si>
    <t>FIM</t>
  </si>
  <si>
    <t>First Investec Modaraba</t>
  </si>
  <si>
    <t>FNBM</t>
  </si>
  <si>
    <t>First National Bank Modaraba</t>
  </si>
  <si>
    <t>GRYL</t>
  </si>
  <si>
    <t>Grays Leasing Limited</t>
  </si>
  <si>
    <t>PGLC</t>
  </si>
  <si>
    <t>Pak-Gulf Leasing Company Limited</t>
  </si>
  <si>
    <t>ENGL</t>
  </si>
  <si>
    <t>English Leasing Limited</t>
  </si>
  <si>
    <t>PICL</t>
  </si>
  <si>
    <t>Pakistan Industrial &amp; Commercial Leasing Limited</t>
  </si>
  <si>
    <t>SLCL</t>
  </si>
  <si>
    <t>Security Leasing Corporation Limited</t>
  </si>
  <si>
    <t>SLL</t>
  </si>
  <si>
    <t>SME Leasing Limited</t>
  </si>
  <si>
    <t>SPLC</t>
  </si>
  <si>
    <t>Saudi Pak Leasing Company Limited</t>
  </si>
  <si>
    <t>786 Investments Limited</t>
  </si>
  <si>
    <t>AHL</t>
  </si>
  <si>
    <t>Arif Habib Limited</t>
  </si>
  <si>
    <t>AKDSL</t>
  </si>
  <si>
    <t xml:space="preserve">AKD Securities Limited </t>
  </si>
  <si>
    <t>AMBL</t>
  </si>
  <si>
    <t>Apna Microfinance Bank Limited</t>
  </si>
  <si>
    <t>CYAN</t>
  </si>
  <si>
    <t>Cyan Limited</t>
  </si>
  <si>
    <t xml:space="preserve">CALCORP Limited </t>
  </si>
  <si>
    <t>DEL</t>
  </si>
  <si>
    <t>Dawood Equities Limited</t>
  </si>
  <si>
    <t>DAWH</t>
  </si>
  <si>
    <t>Dawood Hercules Corporation Limited</t>
  </si>
  <si>
    <t>DLL</t>
  </si>
  <si>
    <t>Dawood Lawrencepur Limited</t>
  </si>
  <si>
    <t>EFGH</t>
  </si>
  <si>
    <t>EFG Hermes Pakistan Limited</t>
  </si>
  <si>
    <t>ESBL</t>
  </si>
  <si>
    <t>Escorts Investmen Bank Limited</t>
  </si>
  <si>
    <t>FCIBL</t>
  </si>
  <si>
    <t>First Credit &amp; Investment Bank Limited</t>
  </si>
  <si>
    <t>FCSC</t>
  </si>
  <si>
    <t>First Capital Securities Corporation Limited</t>
  </si>
  <si>
    <t>FDPL</t>
  </si>
  <si>
    <t>First Dawood Properties Limited (First Dawood Investment Bank)</t>
  </si>
  <si>
    <t>FNEL</t>
  </si>
  <si>
    <t>First National Equities Limited</t>
  </si>
  <si>
    <t>IML</t>
  </si>
  <si>
    <r>
      <t xml:space="preserve">Imperial Limited </t>
    </r>
    <r>
      <rPr>
        <i/>
        <sz val="12"/>
        <rFont val="Calibri"/>
        <family val="2"/>
        <scheme val="minor"/>
      </rPr>
      <t>(Imperial Sugar)</t>
    </r>
  </si>
  <si>
    <t>ICIBL</t>
  </si>
  <si>
    <t>Invest Capital Investment Bank Limited</t>
  </si>
  <si>
    <t>JSCL</t>
  </si>
  <si>
    <t>Jahangir Siddiqui &amp; Co. Limited</t>
  </si>
  <si>
    <t>JSGCL</t>
  </si>
  <si>
    <t>JS Global Capital Limited</t>
  </si>
  <si>
    <t>JSIL</t>
  </si>
  <si>
    <t>JS Investments Limited</t>
  </si>
  <si>
    <t>LSECL</t>
  </si>
  <si>
    <t>LSE Capital Limited</t>
  </si>
  <si>
    <t>LSEFSL</t>
  </si>
  <si>
    <t>LSE Financial Services Limited</t>
  </si>
  <si>
    <t>LSEVL</t>
  </si>
  <si>
    <t>LSE Ventures Limited</t>
  </si>
  <si>
    <t>MCBIM</t>
  </si>
  <si>
    <t>MCB Investment Management Limited</t>
  </si>
  <si>
    <t>NEXT</t>
  </si>
  <si>
    <t>Next Capital Limited</t>
  </si>
  <si>
    <t>OLPL</t>
  </si>
  <si>
    <r>
      <t xml:space="preserve">OLP Financial Services Pakistan Limited  </t>
    </r>
    <r>
      <rPr>
        <i/>
        <sz val="12"/>
        <rFont val="Calibri"/>
        <family val="2"/>
        <scheme val="minor"/>
      </rPr>
      <t>(Orix Leasing Pakistan)</t>
    </r>
  </si>
  <si>
    <t>PIAHCLA</t>
  </si>
  <si>
    <t>PIA Holding Company Limited</t>
  </si>
  <si>
    <t>PSX</t>
  </si>
  <si>
    <t>Pakistan Stock Exchange Limited</t>
  </si>
  <si>
    <t>SIBL</t>
  </si>
  <si>
    <t>Security Investment Bank Limited</t>
  </si>
  <si>
    <t>TSBL</t>
  </si>
  <si>
    <t>Trust Securities &amp; Brokerage Limited</t>
  </si>
  <si>
    <t>AMSL</t>
  </si>
  <si>
    <t>Al-Mal Securities &amp; Services Limited</t>
  </si>
  <si>
    <t>FCEL</t>
  </si>
  <si>
    <t>First Capital Equities Limited</t>
  </si>
  <si>
    <t>PASL</t>
  </si>
  <si>
    <t>Pervez Ahmed Consultancy Services Limited</t>
  </si>
  <si>
    <t>PRIB</t>
  </si>
  <si>
    <t>Prudential Investment Bank Limited</t>
  </si>
  <si>
    <t>TRIBL</t>
  </si>
  <si>
    <t>Trust Investment Bank Limited</t>
  </si>
  <si>
    <t>ABL</t>
  </si>
  <si>
    <t>Allied Bank Limited</t>
  </si>
  <si>
    <t>AKBL</t>
  </si>
  <si>
    <t>Askari Bank Limited</t>
  </si>
  <si>
    <t>BAFL</t>
  </si>
  <si>
    <t>Bank Alfalah Limited</t>
  </si>
  <si>
    <t>BAHL</t>
  </si>
  <si>
    <t>Bank AL Habib  Limited</t>
  </si>
  <si>
    <t>BIPL</t>
  </si>
  <si>
    <t>BankIslami Pakistan Limited</t>
  </si>
  <si>
    <t>BOK</t>
  </si>
  <si>
    <t>The Bank of Khyber</t>
  </si>
  <si>
    <t>BOP</t>
  </si>
  <si>
    <t>The Bank of Punjab</t>
  </si>
  <si>
    <t>FABL</t>
  </si>
  <si>
    <t>Faysal Bank Limited</t>
  </si>
  <si>
    <t>HBL</t>
  </si>
  <si>
    <t>Habib Bank Limited</t>
  </si>
  <si>
    <t>HMB</t>
  </si>
  <si>
    <t>Habib Metropolitan Bank Limited</t>
  </si>
  <si>
    <t>JSBL</t>
  </si>
  <si>
    <t>JS Bank Limited</t>
  </si>
  <si>
    <t>MCB</t>
  </si>
  <si>
    <t>MCB Bank Limited</t>
  </si>
  <si>
    <t>MEBL</t>
  </si>
  <si>
    <t>Meezan Bank Limited</t>
  </si>
  <si>
    <t>NBP</t>
  </si>
  <si>
    <t>National Bank of Pakistan</t>
  </si>
  <si>
    <t>SBL</t>
  </si>
  <si>
    <t>Samba Bank Limited</t>
  </si>
  <si>
    <t>SCBPL</t>
  </si>
  <si>
    <t>Standard Chartered Bank (Pakistan) Ltd.</t>
  </si>
  <si>
    <t>SILK</t>
  </si>
  <si>
    <t>Silkbank Limited</t>
  </si>
  <si>
    <t>BML</t>
  </si>
  <si>
    <t>Bank Makramah Limited</t>
  </si>
  <si>
    <t>SNBL</t>
  </si>
  <si>
    <t>Soneri Bank Limited</t>
  </si>
  <si>
    <t>UBL</t>
  </si>
  <si>
    <t>United Bank Limited</t>
  </si>
  <si>
    <t>AGIC</t>
  </si>
  <si>
    <t>Askari General Insurance Company Limited</t>
  </si>
  <si>
    <t>AICL</t>
  </si>
  <si>
    <t>Adamjee Insurance Company Limited</t>
  </si>
  <si>
    <t>ALAC</t>
  </si>
  <si>
    <t>Askari Life Assurance Company Limited</t>
  </si>
  <si>
    <t>ALIFE</t>
  </si>
  <si>
    <t>Adamjee Life Assurance Company Limited</t>
  </si>
  <si>
    <t>ASIC</t>
  </si>
  <si>
    <t>Asia Insurance Company Limited</t>
  </si>
  <si>
    <t>ATIL</t>
  </si>
  <si>
    <t>Atlas Insurance Limited</t>
  </si>
  <si>
    <t>CENI</t>
  </si>
  <si>
    <t>Century Insurance Company Limited</t>
  </si>
  <si>
    <t>CSIL</t>
  </si>
  <si>
    <t>Crescent Star Insurance Company Limited</t>
  </si>
  <si>
    <t>EFUG</t>
  </si>
  <si>
    <t>EFU General Insurance Limited</t>
  </si>
  <si>
    <t>EFUL</t>
  </si>
  <si>
    <t>EFU Life Assurance Limited</t>
  </si>
  <si>
    <t>EWIC</t>
  </si>
  <si>
    <t>East West Insurance Company Limited</t>
  </si>
  <si>
    <t>HICL</t>
  </si>
  <si>
    <t>Habib Insurance Company Limited</t>
  </si>
  <si>
    <t>IGIHL</t>
  </si>
  <si>
    <t>IGI Holdings Limited</t>
  </si>
  <si>
    <t>IGIL</t>
  </si>
  <si>
    <t>IGI Life Insurance Limited</t>
  </si>
  <si>
    <t>JGICL</t>
  </si>
  <si>
    <t>Jubilee General Insurance Company Limited</t>
  </si>
  <si>
    <t>JLICL</t>
  </si>
  <si>
    <t>Jubilee Life Insurance Company Limited</t>
  </si>
  <si>
    <t>PAKRI</t>
  </si>
  <si>
    <t>Pakistan Reinsurance Company Limited</t>
  </si>
  <si>
    <t>PINL</t>
  </si>
  <si>
    <t>Premier Insurance Limited</t>
  </si>
  <si>
    <t>PKGI</t>
  </si>
  <si>
    <t>The Pakistan General Insurance Company Limited</t>
  </si>
  <si>
    <t>RICL</t>
  </si>
  <si>
    <t>Reliance Insurance Company Limited</t>
  </si>
  <si>
    <t>SHNI</t>
  </si>
  <si>
    <t>Shaheen Insurance Company Limited</t>
  </si>
  <si>
    <t>TPLI</t>
  </si>
  <si>
    <t>TPL Insurance Limited</t>
  </si>
  <si>
    <t>UNIC</t>
  </si>
  <si>
    <t>The United Insurance Company of Pakistan Limited</t>
  </si>
  <si>
    <t>UVIC</t>
  </si>
  <si>
    <t>The Universal Insurance Company Limited</t>
  </si>
  <si>
    <t>BIIC</t>
  </si>
  <si>
    <t>Business &amp; Industrial Insurance Company Limited</t>
  </si>
  <si>
    <t>PIL</t>
  </si>
  <si>
    <t>PICIC Insurance Limited</t>
  </si>
  <si>
    <t>PRIC</t>
  </si>
  <si>
    <t>Progressive Insurance Company Limited</t>
  </si>
  <si>
    <t>SICL</t>
  </si>
  <si>
    <t>Standard Insurance Company Limited</t>
  </si>
  <si>
    <t>SSIC</t>
  </si>
  <si>
    <t>Silver Star Insurance Company Limited</t>
  </si>
  <si>
    <t>DCR</t>
  </si>
  <si>
    <t>Dolmen City REIT</t>
  </si>
  <si>
    <t>GRR</t>
  </si>
  <si>
    <t>Globe Residency REIT</t>
  </si>
  <si>
    <t>TPLRF1</t>
  </si>
  <si>
    <t>TPL REIT Fund - I</t>
  </si>
  <si>
    <t>AATM</t>
  </si>
  <si>
    <t>Ali Asghar Textile Mills Limited</t>
  </si>
  <si>
    <t>ARCTM</t>
  </si>
  <si>
    <t xml:space="preserve">Arctic Textile Mills Limited </t>
  </si>
  <si>
    <t>ASTM</t>
  </si>
  <si>
    <t>Asim Textile Mills Limited</t>
  </si>
  <si>
    <t>AWTX</t>
  </si>
  <si>
    <t>Allawasaya Textile &amp; Finishing Mills Limited</t>
  </si>
  <si>
    <t>BILF</t>
  </si>
  <si>
    <t>Bilal Fibres Limited</t>
  </si>
  <si>
    <t>CCM</t>
  </si>
  <si>
    <t xml:space="preserve">Crescent Cotton Mills Limited </t>
  </si>
  <si>
    <t>CFL</t>
  </si>
  <si>
    <t>Crescent Fibres Limited</t>
  </si>
  <si>
    <t>CTM</t>
  </si>
  <si>
    <t>Colony Textile Mills Limited</t>
  </si>
  <si>
    <t>DFSM</t>
  </si>
  <si>
    <t>Dewan Farooque Spinning Mills Limited</t>
  </si>
  <si>
    <t>DINT</t>
  </si>
  <si>
    <t>Din Textile Mills Limited</t>
  </si>
  <si>
    <t>DSIL</t>
  </si>
  <si>
    <t>D. S. Industries Limited</t>
  </si>
  <si>
    <t>DSML</t>
  </si>
  <si>
    <t>Dar Es Salaam Textile Mills Limited</t>
  </si>
  <si>
    <t>ELCM</t>
  </si>
  <si>
    <t>Elahi Cotton Mills Limited</t>
  </si>
  <si>
    <t>ELSM</t>
  </si>
  <si>
    <t>Ellcot Spinning Mills Limited</t>
  </si>
  <si>
    <t>GADT</t>
  </si>
  <si>
    <t>Gadoon Textile Mills Limited</t>
  </si>
  <si>
    <t>IDRT</t>
  </si>
  <si>
    <t>Idrees Textile Mills Limited</t>
  </si>
  <si>
    <t>IDSM</t>
  </si>
  <si>
    <t>Ideal Spinning Mills Limited</t>
  </si>
  <si>
    <t>IDYM</t>
  </si>
  <si>
    <t>Indus Dyeing &amp; Manufacturing Company Limited</t>
  </si>
  <si>
    <t>JATM</t>
  </si>
  <si>
    <t>J. A. Textile Mills Limited</t>
  </si>
  <si>
    <t>JDMT</t>
  </si>
  <si>
    <t>Janana De Malucho Textile Mills Limited</t>
  </si>
  <si>
    <t>JKSM</t>
  </si>
  <si>
    <t>J. K. Spinning Mills Limited</t>
  </si>
  <si>
    <t>KOHTM</t>
  </si>
  <si>
    <t>Kohat Textile Mills Limited</t>
  </si>
  <si>
    <t>KOSM</t>
  </si>
  <si>
    <t>Kohinoor Spinning Mills Limited</t>
  </si>
  <si>
    <t>MQTM</t>
  </si>
  <si>
    <t>Maqbool Textile Mills Limited</t>
  </si>
  <si>
    <t>NAGC</t>
  </si>
  <si>
    <t>Nagina Cotton Mills Limited</t>
  </si>
  <si>
    <t>NATM</t>
  </si>
  <si>
    <t>Nadeem Textile Mills Limited</t>
  </si>
  <si>
    <t>OML</t>
  </si>
  <si>
    <t>Olympia Mills Limited</t>
  </si>
  <si>
    <t>PRET</t>
  </si>
  <si>
    <t>Premium Textile Mills Limited</t>
  </si>
  <si>
    <t>RCML</t>
  </si>
  <si>
    <t>Reliance Cotton Spinning Mills Limited</t>
  </si>
  <si>
    <t>SAIF</t>
  </si>
  <si>
    <t>Saif Textile Mills Limited</t>
  </si>
  <si>
    <t>SERT</t>
  </si>
  <si>
    <t>Service Industries Textiles Limited</t>
  </si>
  <si>
    <t>SHCM</t>
  </si>
  <si>
    <t>Shadman Cotton Mills Limited</t>
  </si>
  <si>
    <t>SHDT</t>
  </si>
  <si>
    <t>Shadab Textile Mills Limited</t>
  </si>
  <si>
    <t>SNAI</t>
  </si>
  <si>
    <t>Sana Industries Limited</t>
  </si>
  <si>
    <t>SSML</t>
  </si>
  <si>
    <t>Saritow Spinning Mills Limited</t>
  </si>
  <si>
    <t>SUTM</t>
  </si>
  <si>
    <t>Sunrays Textile Mills Limited</t>
  </si>
  <si>
    <t>SZTM</t>
  </si>
  <si>
    <t>Shahzad Textile Mills Limited</t>
  </si>
  <si>
    <t>TATM</t>
  </si>
  <si>
    <t>Tata Textile Mills Limited</t>
  </si>
  <si>
    <t>AAL</t>
  </si>
  <si>
    <t>Agro Allianz Limited (Karim Cotton)</t>
  </si>
  <si>
    <t>AMTEX</t>
  </si>
  <si>
    <t>Amtex Limited</t>
  </si>
  <si>
    <t>ANNT</t>
  </si>
  <si>
    <t>Annoor Textile Mills Limited</t>
  </si>
  <si>
    <t>APOT</t>
  </si>
  <si>
    <t>Apollo Textile Mills Limited</t>
  </si>
  <si>
    <t>AZMT</t>
  </si>
  <si>
    <t>Azmat Textile Mills Limited</t>
  </si>
  <si>
    <t>CWSM</t>
  </si>
  <si>
    <t>Chakwal Spinning Mills Limited</t>
  </si>
  <si>
    <t>DKTM</t>
  </si>
  <si>
    <t>Dewan Khalid Textile Mills Limited</t>
  </si>
  <si>
    <t>DMTM</t>
  </si>
  <si>
    <t>Dewan Mushtaq Textile Mills Limited</t>
  </si>
  <si>
    <t>DMTX</t>
  </si>
  <si>
    <t>D. M. Textile Mills Limited</t>
  </si>
  <si>
    <t>DWTM</t>
  </si>
  <si>
    <t>Dewan Textile Mills Limited</t>
  </si>
  <si>
    <t>FAEL</t>
  </si>
  <si>
    <t>Fatima Enterprises Limited</t>
  </si>
  <si>
    <t>GLOT</t>
  </si>
  <si>
    <t>Globe Textile Mills Limited</t>
  </si>
  <si>
    <t>GSPM</t>
  </si>
  <si>
    <t>Gulshan Spinning Mills Limited</t>
  </si>
  <si>
    <t>GUSM</t>
  </si>
  <si>
    <t>Gulistan Spinning Mills Limited</t>
  </si>
  <si>
    <t>GUTM</t>
  </si>
  <si>
    <t>Gulistan Textile Mills Limited</t>
  </si>
  <si>
    <t>HAJT</t>
  </si>
  <si>
    <t>Hajra Textile Mills Limited</t>
  </si>
  <si>
    <t>HIRAT</t>
  </si>
  <si>
    <t>Hira Textile Mills Limited</t>
  </si>
  <si>
    <t>HMIM</t>
  </si>
  <si>
    <t>Haji Mohammad Ismail Mills Limited</t>
  </si>
  <si>
    <t>KSTM</t>
  </si>
  <si>
    <t>Khalid Siraj Textile Mills Limited</t>
  </si>
  <si>
    <t>LMSM</t>
  </si>
  <si>
    <t>Landmark Spinning Industries Limited</t>
  </si>
  <si>
    <t>NCML</t>
  </si>
  <si>
    <t>Nazir Cotton Mills Limited</t>
  </si>
  <si>
    <t>RUBY</t>
  </si>
  <si>
    <t>Ruby Textile Mills Limited</t>
  </si>
  <si>
    <t>SANE</t>
  </si>
  <si>
    <t>Salman Noman Enterprises Limited</t>
  </si>
  <si>
    <t>SLYT</t>
  </si>
  <si>
    <t>Sally Textile Mills Limited</t>
  </si>
  <si>
    <t>ASHT</t>
  </si>
  <si>
    <t>Ashfaq Textile Mills Limited</t>
  </si>
  <si>
    <t>ICCI</t>
  </si>
  <si>
    <t>ICC Industries Limited</t>
  </si>
  <si>
    <t>PRWM</t>
  </si>
  <si>
    <t>Prosperity Weaving Mills Limited</t>
  </si>
  <si>
    <t>STJT</t>
  </si>
  <si>
    <t>Shahtaj Textile Limited</t>
  </si>
  <si>
    <t>YOUW</t>
  </si>
  <si>
    <t>Yousaf Weaving Mills Limited</t>
  </si>
  <si>
    <t>ZTL</t>
  </si>
  <si>
    <t>Zephyr Textiles Limited</t>
  </si>
  <si>
    <t>HKKT</t>
  </si>
  <si>
    <t>Hakkim Textile Mills Limited</t>
  </si>
  <si>
    <t>MOHE</t>
  </si>
  <si>
    <t>Mohib Exports Limited</t>
  </si>
  <si>
    <t>SDOT</t>
  </si>
  <si>
    <t>Sadoon Textile Mills Limited</t>
  </si>
  <si>
    <t>ADMM</t>
  </si>
  <si>
    <t>Artistic Denim Mills Limited</t>
  </si>
  <si>
    <t>AHTM</t>
  </si>
  <si>
    <t>Ahmad Hassan Textile Mills Limited</t>
  </si>
  <si>
    <t>ANL</t>
  </si>
  <si>
    <t>Azgard Nine Limited</t>
  </si>
  <si>
    <t>ANTM</t>
  </si>
  <si>
    <t>AN Textile Mills Limited</t>
  </si>
  <si>
    <t>ARUJ</t>
  </si>
  <si>
    <t>Aruj Industries Limited</t>
  </si>
  <si>
    <t>BHAT</t>
  </si>
  <si>
    <t>Bhanero Textile Mills Limited</t>
  </si>
  <si>
    <t>BTL</t>
  </si>
  <si>
    <t>Blessed Textiles Limited</t>
  </si>
  <si>
    <t>CRTM</t>
  </si>
  <si>
    <t>The Crescent Textile Mills Limited</t>
  </si>
  <si>
    <t>FASM</t>
  </si>
  <si>
    <t>Faisal Spinning Mills Limited</t>
  </si>
  <si>
    <t>FML</t>
  </si>
  <si>
    <t xml:space="preserve">Feroze1888 Mills Limited </t>
  </si>
  <si>
    <t>FZCM</t>
  </si>
  <si>
    <t>Fazal Cloth Mills Limited</t>
  </si>
  <si>
    <t>GATM</t>
  </si>
  <si>
    <t>Gul Ahmed Textile Mills Limited</t>
  </si>
  <si>
    <t>GFIL</t>
  </si>
  <si>
    <t>Ghazi Fabrics International Limited</t>
  </si>
  <si>
    <t>HAEL</t>
  </si>
  <si>
    <t>Hala Enterprises Limited</t>
  </si>
  <si>
    <t>HAFL</t>
  </si>
  <si>
    <t>Hafiz Limited</t>
  </si>
  <si>
    <t>ILP</t>
  </si>
  <si>
    <t>Interloop Limited</t>
  </si>
  <si>
    <t>INKL</t>
  </si>
  <si>
    <t>International Knitwear Limited</t>
  </si>
  <si>
    <t>KHYT</t>
  </si>
  <si>
    <t>Khyber Textile Mills Limited</t>
  </si>
  <si>
    <t>KML</t>
  </si>
  <si>
    <t>Kohinoor Mills Limited</t>
  </si>
  <si>
    <t>KOIL</t>
  </si>
  <si>
    <t>Kohinoor Industries Limited</t>
  </si>
  <si>
    <t>KTML</t>
  </si>
  <si>
    <t>Kohinoor Textile Mills Limited</t>
  </si>
  <si>
    <t>MEHT</t>
  </si>
  <si>
    <t>Mahmood Textile Mills Limited</t>
  </si>
  <si>
    <t>MSOT</t>
  </si>
  <si>
    <t>Masood Textile Mills Limited</t>
  </si>
  <si>
    <t>NCL</t>
  </si>
  <si>
    <t>Nishat (Chunian) Limited</t>
  </si>
  <si>
    <t>NML</t>
  </si>
  <si>
    <t>Nishat Mills Limited</t>
  </si>
  <si>
    <t>REDCO</t>
  </si>
  <si>
    <t>Redco Textiles Limited</t>
  </si>
  <si>
    <t>REWM</t>
  </si>
  <si>
    <t>Reliance Weaving Mills Limited</t>
  </si>
  <si>
    <t>SAPT</t>
  </si>
  <si>
    <t>Sapphire Textile Mills Limited</t>
  </si>
  <si>
    <t>SFL</t>
  </si>
  <si>
    <t>Sapphire Fibres Limited</t>
  </si>
  <si>
    <t>STML</t>
  </si>
  <si>
    <t>Shams Textile Mills Limited</t>
  </si>
  <si>
    <t>STYLERS</t>
  </si>
  <si>
    <t>Stylers International Limited</t>
  </si>
  <si>
    <t>SURC</t>
  </si>
  <si>
    <t>Suraj Cotton Mills Limited</t>
  </si>
  <si>
    <t>TOWL</t>
  </si>
  <si>
    <t>Towellers Limited</t>
  </si>
  <si>
    <t>ZAHID</t>
  </si>
  <si>
    <t>Zahidjee Textile Mills Limited</t>
  </si>
  <si>
    <t>CHBL</t>
  </si>
  <si>
    <t>Chenab Limited</t>
  </si>
  <si>
    <t>FSWL</t>
  </si>
  <si>
    <t>Fateh Sports Wear Limited</t>
  </si>
  <si>
    <t>FTHM</t>
  </si>
  <si>
    <t>Fateh Textile Mills Limited</t>
  </si>
  <si>
    <t>HATM</t>
  </si>
  <si>
    <t>Hamid Textile Mills Limited</t>
  </si>
  <si>
    <t>JUBS</t>
  </si>
  <si>
    <t>Jubilee Spinning &amp; Weaving Mills Limited</t>
  </si>
  <si>
    <t>KAKL</t>
  </si>
  <si>
    <t>Kaiser Arts &amp; Krafts Limited</t>
  </si>
  <si>
    <t>MFTM</t>
  </si>
  <si>
    <t>Mohammed Farooq Textile Mills Limited</t>
  </si>
  <si>
    <t>MUBT</t>
  </si>
  <si>
    <t>Mubarak Textile Mills Limited</t>
  </si>
  <si>
    <t>NINA</t>
  </si>
  <si>
    <t>Nina Industries Limited</t>
  </si>
  <si>
    <t>PASM</t>
  </si>
  <si>
    <t>Paramount Spinning Mills Limited</t>
  </si>
  <si>
    <t>QUET</t>
  </si>
  <si>
    <t>Quetta Textile Mills Limited</t>
  </si>
  <si>
    <t>SCHT</t>
  </si>
  <si>
    <t>Schon Textiles Limited</t>
  </si>
  <si>
    <t>SFAT</t>
  </si>
  <si>
    <t>Safa Textiles Limited</t>
  </si>
  <si>
    <t>TAJT</t>
  </si>
  <si>
    <t>Taj Textile Mills Limited</t>
  </si>
  <si>
    <t>USMT</t>
  </si>
  <si>
    <t>Usman Textile Mills Limited</t>
  </si>
  <si>
    <t>ZHCM</t>
  </si>
  <si>
    <t>Zahur Cotton Mills Limited</t>
  </si>
  <si>
    <t>BNWM</t>
  </si>
  <si>
    <t>Bannu Woollen Mills Limited</t>
  </si>
  <si>
    <t>GATI</t>
  </si>
  <si>
    <t>Gatron (Industries) Limited</t>
  </si>
  <si>
    <t>IBFL</t>
  </si>
  <si>
    <t>Ibrahim Fibres Limited</t>
  </si>
  <si>
    <t>IMAGE</t>
  </si>
  <si>
    <t>Image Pakistan Limited</t>
  </si>
  <si>
    <t>NSRM</t>
  </si>
  <si>
    <t>The National Silk &amp; Rayon Mills Limited</t>
  </si>
  <si>
    <t>PSYL</t>
  </si>
  <si>
    <t>Pakistan Synthetics Limited</t>
  </si>
  <si>
    <t>RUPL</t>
  </si>
  <si>
    <t>Rupali Polyester Limited</t>
  </si>
  <si>
    <t>AASM</t>
  </si>
  <si>
    <t>Al- Abid Silk Mills Limited</t>
  </si>
  <si>
    <t>DSFL</t>
  </si>
  <si>
    <t>Dewan Salman Fibre Limited</t>
  </si>
  <si>
    <t>NAFL</t>
  </si>
  <si>
    <t>National Fibres Limited</t>
  </si>
  <si>
    <t>SGABL</t>
  </si>
  <si>
    <t xml:space="preserve">SG Allied Business Limited </t>
  </si>
  <si>
    <t>CJPL</t>
  </si>
  <si>
    <t>Crescent Jute Products Limited</t>
  </si>
  <si>
    <t>SUHJ</t>
  </si>
  <si>
    <t>Suhail Jute Mills Limited</t>
  </si>
  <si>
    <t>AABS</t>
  </si>
  <si>
    <t>Al-Abbas Sugar Mills Limited</t>
  </si>
  <si>
    <t>ADAMS</t>
  </si>
  <si>
    <t>Adam Sugar Mills Limited</t>
  </si>
  <si>
    <t>AGSML</t>
  </si>
  <si>
    <t>Abdullah Shah Ghazi Sugar Mills Limited</t>
  </si>
  <si>
    <t>ALNRS</t>
  </si>
  <si>
    <t>Al-Noor Sugar Mills Limited</t>
  </si>
  <si>
    <t>BAFS</t>
  </si>
  <si>
    <t>Baba Farid Sugar Mills Limited</t>
  </si>
  <si>
    <t>CHAS</t>
  </si>
  <si>
    <t>Chashma Sugar Mills Limited</t>
  </si>
  <si>
    <t>FRSM</t>
  </si>
  <si>
    <t>Faran Sugar Mills Limited</t>
  </si>
  <si>
    <t>HABSM</t>
  </si>
  <si>
    <t>Habib Sugar Mills Limited</t>
  </si>
  <si>
    <t>HRPL</t>
  </si>
  <si>
    <t>Habib Rice Products Limited</t>
  </si>
  <si>
    <t>JDWS</t>
  </si>
  <si>
    <t>JDW Sugar Mills Limited</t>
  </si>
  <si>
    <t>JSML</t>
  </si>
  <si>
    <t>Jauharabad Sugar Mills Limited</t>
  </si>
  <si>
    <t>KPUS</t>
  </si>
  <si>
    <t>Khairpur Sugar Mills Limited</t>
  </si>
  <si>
    <t>MIRKS</t>
  </si>
  <si>
    <t>Mirpurkhas Sugar Mills Limited</t>
  </si>
  <si>
    <t>MRNS</t>
  </si>
  <si>
    <t>Mehran Sugar Mills Limited</t>
  </si>
  <si>
    <t>NONS</t>
  </si>
  <si>
    <t>Noon Sugar Mills Limited</t>
  </si>
  <si>
    <t>PMRS</t>
  </si>
  <si>
    <t>The Premier Sugar Mills &amp; Distillery Company Limited</t>
  </si>
  <si>
    <t>SANSM</t>
  </si>
  <si>
    <t>Sanghar Sugar Mills Limited</t>
  </si>
  <si>
    <t>SASML</t>
  </si>
  <si>
    <t>Sindh Abadgar's Sugar Mills Limited</t>
  </si>
  <si>
    <t>SHJS</t>
  </si>
  <si>
    <t>Shahtaj Sugar Mills Limited</t>
  </si>
  <si>
    <t>SHSML</t>
  </si>
  <si>
    <t>Shahmurad Sugar Mills Limited</t>
  </si>
  <si>
    <t>TCORP</t>
  </si>
  <si>
    <r>
      <t xml:space="preserve">Tariq Corporation Limited  </t>
    </r>
    <r>
      <rPr>
        <i/>
        <sz val="12"/>
        <rFont val="Calibri"/>
        <family val="2"/>
        <scheme val="minor"/>
      </rPr>
      <t>(Husein Sugar Mills Limited)</t>
    </r>
  </si>
  <si>
    <t>TCORPCPS</t>
  </si>
  <si>
    <t>Tariq Corporation Limited  (Preference Shares)</t>
  </si>
  <si>
    <t>TICL</t>
  </si>
  <si>
    <t>The Thal Industries Corporation Limited</t>
  </si>
  <si>
    <t>TSML</t>
  </si>
  <si>
    <t>Tandlianwala Sugar Mills Limited</t>
  </si>
  <si>
    <t>ANSM</t>
  </si>
  <si>
    <t>Ansari Sugar Mills Limited</t>
  </si>
  <si>
    <t>DWSM</t>
  </si>
  <si>
    <t>Dewan Sugar Mills Limited</t>
  </si>
  <si>
    <t>HWQS</t>
  </si>
  <si>
    <t>Haseeb Waqas Sugar Mills Limited</t>
  </si>
  <si>
    <t>SKRS</t>
  </si>
  <si>
    <t>Sakrand Sugar Mills Limited</t>
  </si>
  <si>
    <t>SML</t>
  </si>
  <si>
    <t>Shakarganj Limited</t>
  </si>
  <si>
    <t>ACPL</t>
  </si>
  <si>
    <t>Attock Cement Pakistan Limited</t>
  </si>
  <si>
    <t>BWCL</t>
  </si>
  <si>
    <t>Bestway Cement Limited</t>
  </si>
  <si>
    <t>CHCC</t>
  </si>
  <si>
    <t>Cherat Cement Company Limited</t>
  </si>
  <si>
    <t>DCL</t>
  </si>
  <si>
    <t>Dewan Cement Limited</t>
  </si>
  <si>
    <t>DGKC</t>
  </si>
  <si>
    <t>D. G. Khan Cement Company Limited</t>
  </si>
  <si>
    <t>DNCC</t>
  </si>
  <si>
    <t>Dandot Cement Company Limited</t>
  </si>
  <si>
    <t>FCCL</t>
  </si>
  <si>
    <t>Fauji Cement Company Limited</t>
  </si>
  <si>
    <t>FECTC</t>
  </si>
  <si>
    <t>Fecto Cement Limited</t>
  </si>
  <si>
    <t>FLYNG</t>
  </si>
  <si>
    <t>Flying Cement Company Limited</t>
  </si>
  <si>
    <t>GWLC</t>
  </si>
  <si>
    <t>Gharibwal Cement Limited</t>
  </si>
  <si>
    <t>KOHC</t>
  </si>
  <si>
    <t>Kohat Cement Company Limited</t>
  </si>
  <si>
    <t>LUCK</t>
  </si>
  <si>
    <t>Lucky Cement Limited</t>
  </si>
  <si>
    <t>MLCF</t>
  </si>
  <si>
    <t>Maple Leaf Cement Factory Limited</t>
  </si>
  <si>
    <t>PIOC</t>
  </si>
  <si>
    <t>Pioneer Cement Limited</t>
  </si>
  <si>
    <t>POWER</t>
  </si>
  <si>
    <t>Power Cement Limited</t>
  </si>
  <si>
    <t>POWERPS</t>
  </si>
  <si>
    <t>Power Cement Limited  (Preference Shares)</t>
  </si>
  <si>
    <t>SMCPL</t>
  </si>
  <si>
    <t>Safe Mix Concrete Limited</t>
  </si>
  <si>
    <t>THCCL</t>
  </si>
  <si>
    <t>Thatta Cement Company Limited</t>
  </si>
  <si>
    <t>DBCI</t>
  </si>
  <si>
    <t>Dadabhoy Cement Industries Limited</t>
  </si>
  <si>
    <t>ZELP</t>
  </si>
  <si>
    <t>Zeal-Pak Cement Factory Limited</t>
  </si>
  <si>
    <t>BRRG</t>
  </si>
  <si>
    <t>B.R.R. Guardian Limited</t>
  </si>
  <si>
    <t>HUSI</t>
  </si>
  <si>
    <t>Husein Industries Limited</t>
  </si>
  <si>
    <t>JVDC</t>
  </si>
  <si>
    <t>Javedan Corporation Limited</t>
  </si>
  <si>
    <t>PACE</t>
  </si>
  <si>
    <t>Pace (Pakistan) Limited</t>
  </si>
  <si>
    <t>TPLP</t>
  </si>
  <si>
    <t>TPL Properties Limited</t>
  </si>
  <si>
    <t>KHTC</t>
  </si>
  <si>
    <t>Khyber Tobacco Company Limited</t>
  </si>
  <si>
    <t>PAKT</t>
  </si>
  <si>
    <t>Pakistan Tobacco Company Limited</t>
  </si>
  <si>
    <t>PMPK</t>
  </si>
  <si>
    <t>Philip Morris (Pakistan) Limited</t>
  </si>
  <si>
    <t>ATRL</t>
  </si>
  <si>
    <t>Attock Refinery Limited</t>
  </si>
  <si>
    <t>CNERGY</t>
  </si>
  <si>
    <r>
      <t xml:space="preserve">Cnergyico PK Limited  </t>
    </r>
    <r>
      <rPr>
        <i/>
        <sz val="12"/>
        <rFont val="Calibri"/>
        <family val="2"/>
        <scheme val="minor"/>
      </rPr>
      <t>(Byco Petroleum Limited)</t>
    </r>
  </si>
  <si>
    <t>NRL</t>
  </si>
  <si>
    <t>National Refinery Limited</t>
  </si>
  <si>
    <t>PRL</t>
  </si>
  <si>
    <t>Pakistan Refinery Limited</t>
  </si>
  <si>
    <t>ALTN</t>
  </si>
  <si>
    <t>Altern Energy Limited</t>
  </si>
  <si>
    <t>EPQL</t>
  </si>
  <si>
    <t>Engro Powergen Qadirpur Limited</t>
  </si>
  <si>
    <t>HUBC</t>
  </si>
  <si>
    <t>The Hub Power Company Limited</t>
  </si>
  <si>
    <t>KAPCO</t>
  </si>
  <si>
    <t>Kot Addu Power Company Limited</t>
  </si>
  <si>
    <t>KEL</t>
  </si>
  <si>
    <t>K-Electric Limited</t>
  </si>
  <si>
    <t>KOHE</t>
  </si>
  <si>
    <t>Kohinoor Energy Limited</t>
  </si>
  <si>
    <t>KOHP</t>
  </si>
  <si>
    <t>Kohinoor Power Company Limited</t>
  </si>
  <si>
    <t>LPL</t>
  </si>
  <si>
    <t>Lalpir Power Limited</t>
  </si>
  <si>
    <t>NCPL</t>
  </si>
  <si>
    <t>Nishat Chunian Power Limited</t>
  </si>
  <si>
    <t>NPL</t>
  </si>
  <si>
    <t>Nishat Power Limited</t>
  </si>
  <si>
    <t>PKGP</t>
  </si>
  <si>
    <t>Pakgen Power Limited</t>
  </si>
  <si>
    <t>SEL</t>
  </si>
  <si>
    <t>Sitara Energy Limited</t>
  </si>
  <si>
    <t>SGPL</t>
  </si>
  <si>
    <t>S. G. Power Limited</t>
  </si>
  <si>
    <t>SPWL</t>
  </si>
  <si>
    <t>Saif Power Limited</t>
  </si>
  <si>
    <t>TSPL</t>
  </si>
  <si>
    <t>Tri - Star Power Limited</t>
  </si>
  <si>
    <t>APL</t>
  </si>
  <si>
    <t>Attock Petroleum Limited</t>
  </si>
  <si>
    <t>BPL</t>
  </si>
  <si>
    <t>Burshane LPG (Pakistan) Limited</t>
  </si>
  <si>
    <t>HTL</t>
  </si>
  <si>
    <t>Hi-Tech Lubricants Limited</t>
  </si>
  <si>
    <t>OBOY</t>
  </si>
  <si>
    <r>
      <t xml:space="preserve">Oilboy Energy Limited  </t>
    </r>
    <r>
      <rPr>
        <i/>
        <sz val="12"/>
        <rFont val="Calibri"/>
        <family val="2"/>
        <scheme val="minor"/>
      </rPr>
      <t>(Drekkar Kingsway Limited)</t>
    </r>
  </si>
  <si>
    <t>PSO</t>
  </si>
  <si>
    <t>Pakistan State Oil Company Limited</t>
  </si>
  <si>
    <t>SHEL</t>
  </si>
  <si>
    <t>Shell Pakistan Limited</t>
  </si>
  <si>
    <t>SNGP</t>
  </si>
  <si>
    <t>Sui Northern Gas Pipelines Limited</t>
  </si>
  <si>
    <t>SSGC</t>
  </si>
  <si>
    <t>Sui Southern Gas Company Limited</t>
  </si>
  <si>
    <t>HASCOL</t>
  </si>
  <si>
    <t>Hascol Petroleum Limited</t>
  </si>
  <si>
    <t>MARI</t>
  </si>
  <si>
    <t>Mari Petroleum Company Limited</t>
  </si>
  <si>
    <t>OGDC</t>
  </si>
  <si>
    <t>Oil &amp; Gas Development Company Limited</t>
  </si>
  <si>
    <t>POL</t>
  </si>
  <si>
    <t>Pakistan Oilfields Limited</t>
  </si>
  <si>
    <t>PPL</t>
  </si>
  <si>
    <t>Pakistan Petroleum Limited</t>
  </si>
  <si>
    <t>AGHA</t>
  </si>
  <si>
    <t>Agha Steel Industries Limited</t>
  </si>
  <si>
    <t>ASL</t>
  </si>
  <si>
    <t>Aisha Steel Mills Limited</t>
  </si>
  <si>
    <t>ASTL</t>
  </si>
  <si>
    <t>Amreli Steels Limited</t>
  </si>
  <si>
    <t>BCL</t>
  </si>
  <si>
    <t>Bolan Castings Limited</t>
  </si>
  <si>
    <t>CSAP</t>
  </si>
  <si>
    <t>Crescent Steel &amp; Allied Products Limited</t>
  </si>
  <si>
    <t>DADX</t>
  </si>
  <si>
    <t>Dadex Eternit Limited</t>
  </si>
  <si>
    <t>INIL</t>
  </si>
  <si>
    <t>International Industries Limited</t>
  </si>
  <si>
    <t>ISL</t>
  </si>
  <si>
    <t>International Steels Limited</t>
  </si>
  <si>
    <t>ITTEFAQ</t>
  </si>
  <si>
    <t>Ittefaq Iron Industries Limitd</t>
  </si>
  <si>
    <t>KSBP</t>
  </si>
  <si>
    <t>KSB Pumps Company Limited</t>
  </si>
  <si>
    <t>MSCL</t>
  </si>
  <si>
    <t>Metropolitan Steel Corporation Limited</t>
  </si>
  <si>
    <t>MUGHAL</t>
  </si>
  <si>
    <t>Mughal Iron &amp; Steel Industries Limited</t>
  </si>
  <si>
    <t>BECO</t>
  </si>
  <si>
    <t>Beco Steel Limited</t>
  </si>
  <si>
    <t>DSL</t>
  </si>
  <si>
    <t>Dost Steels Limited</t>
  </si>
  <si>
    <t>HSPI</t>
  </si>
  <si>
    <t>Huffaz Seamless Pipe Industries Limited</t>
  </si>
  <si>
    <t>PECO</t>
  </si>
  <si>
    <t>Pakistan Engineering Company Limited</t>
  </si>
  <si>
    <t>AGTL</t>
  </si>
  <si>
    <t>Al-Ghazi Tractors Limited</t>
  </si>
  <si>
    <t>ATLH</t>
  </si>
  <si>
    <t>Atlas Honda Limited</t>
  </si>
  <si>
    <t>DFML</t>
  </si>
  <si>
    <t>Dewan Farooque Motors Limited</t>
  </si>
  <si>
    <t>GHNI</t>
  </si>
  <si>
    <t>Ghandhara Industries Limited</t>
  </si>
  <si>
    <t>GAL</t>
  </si>
  <si>
    <r>
      <t xml:space="preserve">Ghandhara Automobiles Limited  </t>
    </r>
    <r>
      <rPr>
        <i/>
        <sz val="12"/>
        <rFont val="Calibri"/>
        <family val="2"/>
        <scheme val="minor"/>
      </rPr>
      <t>(Ghandhara Nissan Limited)</t>
    </r>
  </si>
  <si>
    <t>HCAR</t>
  </si>
  <si>
    <t>Honda Atlas Cars (Pakistan) Limited</t>
  </si>
  <si>
    <t>HINO</t>
  </si>
  <si>
    <t>Hinopak Motors Limited</t>
  </si>
  <si>
    <t>INDU</t>
  </si>
  <si>
    <t>Indus Motor Company Limited</t>
  </si>
  <si>
    <t>MTL</t>
  </si>
  <si>
    <t>Millat Tractors Limited</t>
  </si>
  <si>
    <t>SAZEW</t>
  </si>
  <si>
    <t>Sazgar Engineering Works Limited</t>
  </si>
  <si>
    <t>AGIL</t>
  </si>
  <si>
    <t>Agriautos Industries Limited</t>
  </si>
  <si>
    <t>ATBA</t>
  </si>
  <si>
    <t>Atlas Battery Limited</t>
  </si>
  <si>
    <t>BWHL</t>
  </si>
  <si>
    <t>Baluchistan Wheels Limited</t>
  </si>
  <si>
    <t>EXIDE</t>
  </si>
  <si>
    <t>Exide Pakistan Limited</t>
  </si>
  <si>
    <t>GTYR</t>
  </si>
  <si>
    <t>Ghandhara Tyre &amp; Rubber Company Limited</t>
  </si>
  <si>
    <t>LOADS</t>
  </si>
  <si>
    <t>Loads Limited</t>
  </si>
  <si>
    <t>PTL</t>
  </si>
  <si>
    <t>Panther Tyres Limited</t>
  </si>
  <si>
    <t>TBL</t>
  </si>
  <si>
    <t>Treet Battery Limited</t>
  </si>
  <si>
    <t>THALL</t>
  </si>
  <si>
    <t>Thal Limited</t>
  </si>
  <si>
    <t>BELA</t>
  </si>
  <si>
    <t>Bela Automotives Limited</t>
  </si>
  <si>
    <t>DWAE</t>
  </si>
  <si>
    <t>Dewan Automotive Engineering Limited</t>
  </si>
  <si>
    <t>EMCO</t>
  </si>
  <si>
    <t>Emco Industries Limited</t>
  </si>
  <si>
    <t>FCL</t>
  </si>
  <si>
    <t>Fast Cables Limited</t>
  </si>
  <si>
    <t>PAEL</t>
  </si>
  <si>
    <t>Pak Elektron Limited</t>
  </si>
  <si>
    <t>PCAL</t>
  </si>
  <si>
    <t>Pakistan Cables Limited</t>
  </si>
  <si>
    <t>SIEM</t>
  </si>
  <si>
    <t>Siemens (Pakistan) Engineering Co. Limited</t>
  </si>
  <si>
    <t>WAVES</t>
  </si>
  <si>
    <t xml:space="preserve">Waves Corporation Limited </t>
  </si>
  <si>
    <t>WAVESAPP</t>
  </si>
  <si>
    <t xml:space="preserve">Waves Home Appliances Limited </t>
  </si>
  <si>
    <t>CLVL</t>
  </si>
  <si>
    <t>Cordoba Logistics &amp; Ventures Limited</t>
  </si>
  <si>
    <t>PIBTL</t>
  </si>
  <si>
    <t>Pakistan International Bulk Terminal Limited</t>
  </si>
  <si>
    <t>PICT</t>
  </si>
  <si>
    <t>Pakistan International Container Terminal Ltd.</t>
  </si>
  <si>
    <t>PNSC</t>
  </si>
  <si>
    <t>Pakistan National Shipping Corporation</t>
  </si>
  <si>
    <t>SLGL</t>
  </si>
  <si>
    <t>Secure Logistics Group Limited</t>
  </si>
  <si>
    <t>AVN</t>
  </si>
  <si>
    <t>Avanceon Limited</t>
  </si>
  <si>
    <t>AIRLINK</t>
  </si>
  <si>
    <t>Air Link Communication Limited</t>
  </si>
  <si>
    <t>HCL</t>
  </si>
  <si>
    <t>Hallmark Company Limited</t>
  </si>
  <si>
    <t>HUMNL</t>
  </si>
  <si>
    <t>Hum Network Limited</t>
  </si>
  <si>
    <t>MDTL</t>
  </si>
  <si>
    <t>Media Times Limited</t>
  </si>
  <si>
    <t>NETSOL</t>
  </si>
  <si>
    <t>NetSol Technologies Limited</t>
  </si>
  <si>
    <t>OCTOPUS</t>
  </si>
  <si>
    <t>Octopus Digital Limited</t>
  </si>
  <si>
    <t>PAKD</t>
  </si>
  <si>
    <t>Pak Datacom Limited</t>
  </si>
  <si>
    <t>PTC</t>
  </si>
  <si>
    <t>Pakistan Telecommunication Company Ltd.</t>
  </si>
  <si>
    <t>SYM</t>
  </si>
  <si>
    <t>Symmetry Group Limited</t>
  </si>
  <si>
    <t>SYS</t>
  </si>
  <si>
    <t>Systems Limited</t>
  </si>
  <si>
    <t>TPLT</t>
  </si>
  <si>
    <t>TPL Trakker Limited</t>
  </si>
  <si>
    <t>TELE</t>
  </si>
  <si>
    <t>Telecard Limited</t>
  </si>
  <si>
    <t>TPL</t>
  </si>
  <si>
    <t>TPL Corp. Limited</t>
  </si>
  <si>
    <t>TRG</t>
  </si>
  <si>
    <t>TRG Pakistan Limited</t>
  </si>
  <si>
    <t>WTL</t>
  </si>
  <si>
    <t>WorldCall Telecom Limited</t>
  </si>
  <si>
    <t>AHCL</t>
  </si>
  <si>
    <t>Arif Habib Corporation Limited</t>
  </si>
  <si>
    <t>EFERT</t>
  </si>
  <si>
    <t>Engro Fertilizers Limited</t>
  </si>
  <si>
    <t>ENGRO</t>
  </si>
  <si>
    <t>Engro Corporation Limited</t>
  </si>
  <si>
    <t>FATIMA</t>
  </si>
  <si>
    <t>Fatima Fertilizer Company Limited</t>
  </si>
  <si>
    <t>FFBL</t>
  </si>
  <si>
    <t>Fauji Fertilizer Bin Qasim Limited</t>
  </si>
  <si>
    <t>FFC</t>
  </si>
  <si>
    <t>Fauji Fertilizer Company Limited</t>
  </si>
  <si>
    <t>ABOT</t>
  </si>
  <si>
    <t>Abbott Laboratories (Pakistan) Limited</t>
  </si>
  <si>
    <t>AGP</t>
  </si>
  <si>
    <t>AGP Limited</t>
  </si>
  <si>
    <t>BFBIO</t>
  </si>
  <si>
    <t>BF Biosciences Limited</t>
  </si>
  <si>
    <t>CPHL</t>
  </si>
  <si>
    <t>Citi Pharma Limited</t>
  </si>
  <si>
    <t>FEROZ</t>
  </si>
  <si>
    <t>Ferozsons Laboratories Limited</t>
  </si>
  <si>
    <t>GLAXO</t>
  </si>
  <si>
    <t>GlaxoSmithKline Pakistan Limited</t>
  </si>
  <si>
    <t>HALEON</t>
  </si>
  <si>
    <r>
      <t xml:space="preserve">Haleon Pakistan Limited </t>
    </r>
    <r>
      <rPr>
        <i/>
        <sz val="12"/>
        <rFont val="Calibri"/>
        <family val="2"/>
        <scheme val="minor"/>
      </rPr>
      <t>(GlaxoSmithKline Consumer HealthCare)</t>
    </r>
  </si>
  <si>
    <t>HINOON</t>
  </si>
  <si>
    <t>Highnoon Laboratories Limited</t>
  </si>
  <si>
    <t>IBLHL</t>
  </si>
  <si>
    <t>IBL Healthcare Limited</t>
  </si>
  <si>
    <t>MACTER</t>
  </si>
  <si>
    <t>Macter International Limited</t>
  </si>
  <si>
    <t>OTSU</t>
  </si>
  <si>
    <t>Otsuka Pakistan Limited</t>
  </si>
  <si>
    <t>HPL</t>
  </si>
  <si>
    <r>
      <t xml:space="preserve">Hoechst Pakistan Limited </t>
    </r>
    <r>
      <rPr>
        <i/>
        <sz val="12"/>
        <rFont val="Calibri"/>
        <family val="2"/>
        <scheme val="minor"/>
      </rPr>
      <t>(Sanofi-Aventis Pakistan Limited)</t>
    </r>
  </si>
  <si>
    <t>SEARL</t>
  </si>
  <si>
    <t>The Searle Company Limited</t>
  </si>
  <si>
    <t>AGL</t>
  </si>
  <si>
    <t>Agritech Limited</t>
  </si>
  <si>
    <t>ARPL</t>
  </si>
  <si>
    <t>Archroma Pakistan Limited</t>
  </si>
  <si>
    <t>BERG</t>
  </si>
  <si>
    <t>Berger Paints Pakistan Limited</t>
  </si>
  <si>
    <t>BIFO</t>
  </si>
  <si>
    <t>Biafo Industries Limited</t>
  </si>
  <si>
    <t>BUXL</t>
  </si>
  <si>
    <t>Buxly Paints Limited</t>
  </si>
  <si>
    <t>DAAG</t>
  </si>
  <si>
    <t>Data Agro Limited</t>
  </si>
  <si>
    <t>DOL</t>
  </si>
  <si>
    <t>Descon Oxychem Limited</t>
  </si>
  <si>
    <t>DYNO</t>
  </si>
  <si>
    <t>Dynea Pakistan Limited</t>
  </si>
  <si>
    <t>EPCL</t>
  </si>
  <si>
    <t>Engro Polymer &amp; Chemicals Limited</t>
  </si>
  <si>
    <t>EPCLPS</t>
  </si>
  <si>
    <r>
      <t>Engro Polymer &amp; Chemicals Limited</t>
    </r>
    <r>
      <rPr>
        <i/>
        <sz val="12"/>
        <rFont val="Calibri"/>
        <family val="2"/>
        <scheme val="minor"/>
      </rPr>
      <t xml:space="preserve"> (Preference Shares)</t>
    </r>
  </si>
  <si>
    <t>GCIL</t>
  </si>
  <si>
    <t>Ghani Chemical Industries Limited</t>
  </si>
  <si>
    <t>GGL</t>
  </si>
  <si>
    <t xml:space="preserve">Ghani Global Holdings Limited </t>
  </si>
  <si>
    <t>LCI</t>
  </si>
  <si>
    <r>
      <t xml:space="preserve">Lucky Core Industries Limited </t>
    </r>
    <r>
      <rPr>
        <i/>
        <sz val="12"/>
        <rFont val="Calibri"/>
        <family val="2"/>
        <scheme val="minor"/>
      </rPr>
      <t>(ICI Pakistan Limited)</t>
    </r>
  </si>
  <si>
    <t>ICL</t>
  </si>
  <si>
    <t>Ittehad Chemicals Limited</t>
  </si>
  <si>
    <t>LOTCHEM</t>
  </si>
  <si>
    <t>Lotte Chemical Pakistan Limited</t>
  </si>
  <si>
    <t>LPGL</t>
  </si>
  <si>
    <t>Leiner Pak Gelatine Limited</t>
  </si>
  <si>
    <t>NICL</t>
  </si>
  <si>
    <t>Nimir Industrial Chemicals Limited</t>
  </si>
  <si>
    <t>NRSL</t>
  </si>
  <si>
    <t>Nimir Resins Limited</t>
  </si>
  <si>
    <t>PAKOXY</t>
  </si>
  <si>
    <t>Pakistan Oxygen Limited (Linde Pakistan Limited)</t>
  </si>
  <si>
    <t>SARC</t>
  </si>
  <si>
    <t>Sardar Chemical Industries Limited</t>
  </si>
  <si>
    <t>SITC</t>
  </si>
  <si>
    <t>Sitara Chemical Industries Limited</t>
  </si>
  <si>
    <t>WAHN</t>
  </si>
  <si>
    <t>Wah Noble Chemicals Limited</t>
  </si>
  <si>
    <t>BAPL</t>
  </si>
  <si>
    <t>Bawany Air Products Limited</t>
  </si>
  <si>
    <t>PPVC</t>
  </si>
  <si>
    <t>Pakistan PVC Limited</t>
  </si>
  <si>
    <t>SHCI</t>
  </si>
  <si>
    <t>Shaffi Chemical Industries Limited</t>
  </si>
  <si>
    <t>SPL</t>
  </si>
  <si>
    <t>Sitara Peroxide Limited</t>
  </si>
  <si>
    <t>CEPB</t>
  </si>
  <si>
    <t>Century Paper &amp; Board Mills Limited</t>
  </si>
  <si>
    <t>CPPL</t>
  </si>
  <si>
    <t>Cherat Packaging Limited</t>
  </si>
  <si>
    <t>IPAK</t>
  </si>
  <si>
    <t>International Packaging Films Limited</t>
  </si>
  <si>
    <t>MACFL</t>
  </si>
  <si>
    <t>MACPAC Films Limited</t>
  </si>
  <si>
    <t>MERIT</t>
  </si>
  <si>
    <t>Merit Packaging Limited</t>
  </si>
  <si>
    <t>PKGS</t>
  </si>
  <si>
    <t>Packages Limited</t>
  </si>
  <si>
    <t>PPP</t>
  </si>
  <si>
    <t>Pakistan Paper Products Limited</t>
  </si>
  <si>
    <t>RPL</t>
  </si>
  <si>
    <t>Roshan Packages Limited</t>
  </si>
  <si>
    <t>SEPL</t>
  </si>
  <si>
    <t>Security Papers Limited</t>
  </si>
  <si>
    <t>SPEL</t>
  </si>
  <si>
    <t>Synthetic Products Enterprises Limited</t>
  </si>
  <si>
    <t>ABSON</t>
  </si>
  <si>
    <t>Abson Industries Limited</t>
  </si>
  <si>
    <t>DBSL</t>
  </si>
  <si>
    <t>Dadabhoy Sack Limited</t>
  </si>
  <si>
    <t>POML</t>
  </si>
  <si>
    <t>Punjab Oil Mills Limited</t>
  </si>
  <si>
    <t>SSOM</t>
  </si>
  <si>
    <t>S. S. Oil Mills Limited</t>
  </si>
  <si>
    <t>SURAJ</t>
  </si>
  <si>
    <t>Suraj Ghee Industries Limited</t>
  </si>
  <si>
    <t>BATA</t>
  </si>
  <si>
    <t>Bata Pakistan Limited</t>
  </si>
  <si>
    <t>LEUL</t>
  </si>
  <si>
    <t>Leather Up Limited</t>
  </si>
  <si>
    <t>PAKL</t>
  </si>
  <si>
    <t>Pak Leather Crafts Limited</t>
  </si>
  <si>
    <t>SGF</t>
  </si>
  <si>
    <t>Service Global Footwear Limited</t>
  </si>
  <si>
    <t>SRVI</t>
  </si>
  <si>
    <t>Service Industries Limited</t>
  </si>
  <si>
    <t>FIL</t>
  </si>
  <si>
    <t>Fateh Industries Limited</t>
  </si>
  <si>
    <t>BBFL</t>
  </si>
  <si>
    <t>Big Bird Foods Limited</t>
  </si>
  <si>
    <t>BNL</t>
  </si>
  <si>
    <t>Bunny's Limited</t>
  </si>
  <si>
    <t>CLOV</t>
  </si>
  <si>
    <t>Clover Pakistan Limited</t>
  </si>
  <si>
    <t>COLG</t>
  </si>
  <si>
    <t>Colgate - Palmolive (Pakistan) Limited</t>
  </si>
  <si>
    <t>FCEPL</t>
  </si>
  <si>
    <t>Frieslandcampina Engro Pakistan Limited</t>
  </si>
  <si>
    <t>FFL</t>
  </si>
  <si>
    <t>Fauji Foods Limited</t>
  </si>
  <si>
    <t>GIL</t>
  </si>
  <si>
    <t>Goodluck Industries Limited</t>
  </si>
  <si>
    <t>GLPL</t>
  </si>
  <si>
    <t>Gillette Pakistan Limited</t>
  </si>
  <si>
    <t>ISIL</t>
  </si>
  <si>
    <t>Ismail Industries Limited</t>
  </si>
  <si>
    <t>MFFL</t>
  </si>
  <si>
    <t>Mitchell's Fruit Farms Limited</t>
  </si>
  <si>
    <t>MFL</t>
  </si>
  <si>
    <t>Matco Foods Limited</t>
  </si>
  <si>
    <t>MUREB</t>
  </si>
  <si>
    <t>Murree Brewery Company Limited</t>
  </si>
  <si>
    <t>NATF</t>
  </si>
  <si>
    <t>National Foods Limited</t>
  </si>
  <si>
    <t>NESTLE</t>
  </si>
  <si>
    <t>Nestle Pakistan Limited</t>
  </si>
  <si>
    <t>PREMA</t>
  </si>
  <si>
    <t>At-Tahur Limited</t>
  </si>
  <si>
    <t>QUICE</t>
  </si>
  <si>
    <t>Quice Food Industries Limited</t>
  </si>
  <si>
    <t>RMPL</t>
  </si>
  <si>
    <t>Rafhan Maize Products Co. Limited</t>
  </si>
  <si>
    <t>SCL</t>
  </si>
  <si>
    <t>Shield Corporation Limited</t>
  </si>
  <si>
    <t>SHEZ</t>
  </si>
  <si>
    <t>Shezan International Limited</t>
  </si>
  <si>
    <t>TOMCL</t>
  </si>
  <si>
    <t>The Organic Meat Company Limited</t>
  </si>
  <si>
    <t>TREET</t>
  </si>
  <si>
    <t>Treet Corporation Limited</t>
  </si>
  <si>
    <t>UPFL</t>
  </si>
  <si>
    <t>Unilever Pakistan Foods Limited</t>
  </si>
  <si>
    <t>UNITY</t>
  </si>
  <si>
    <t>Unity Foods Limited</t>
  </si>
  <si>
    <t>ZIL</t>
  </si>
  <si>
    <t>ZIL Limited</t>
  </si>
  <si>
    <t>ASC</t>
  </si>
  <si>
    <t>Al Shaheer Corporation Limited</t>
  </si>
  <si>
    <t>NMFL</t>
  </si>
  <si>
    <t>Nirala MSR Foods LImited</t>
  </si>
  <si>
    <t>BGL</t>
  </si>
  <si>
    <t>Balochistan Glass Limited</t>
  </si>
  <si>
    <t>FRCL</t>
  </si>
  <si>
    <t>Frontier Ceramics Limited</t>
  </si>
  <si>
    <t>GGGL</t>
  </si>
  <si>
    <t>Ghani Global Glass Limited</t>
  </si>
  <si>
    <t>GHGL</t>
  </si>
  <si>
    <t>Ghani Glass Limited</t>
  </si>
  <si>
    <t>GVGL</t>
  </si>
  <si>
    <t>Ghani Value Glass Limited</t>
  </si>
  <si>
    <t>KCL</t>
  </si>
  <si>
    <t>Karam Ceramics Limited</t>
  </si>
  <si>
    <t>STCL</t>
  </si>
  <si>
    <t>Shabbir Tiles &amp; Ceramics Limited</t>
  </si>
  <si>
    <t>TGL</t>
  </si>
  <si>
    <t>Tariq Glass Industries Limited</t>
  </si>
  <si>
    <t>REGAL</t>
  </si>
  <si>
    <t>Regal Ceramics Limited</t>
  </si>
  <si>
    <t>AKDHL</t>
  </si>
  <si>
    <t xml:space="preserve">AKD Hospitality Limited </t>
  </si>
  <si>
    <t>AKGL</t>
  </si>
  <si>
    <t>Al - Khair Gadoon Limited</t>
  </si>
  <si>
    <t>ARPAK</t>
  </si>
  <si>
    <t>Arpak International Investments Limited</t>
  </si>
  <si>
    <t>DIIL</t>
  </si>
  <si>
    <t>Diamond Industries Limited</t>
  </si>
  <si>
    <t>ECOP</t>
  </si>
  <si>
    <t>EcoPack Limited</t>
  </si>
  <si>
    <t>GAMON</t>
  </si>
  <si>
    <t>Gammon Pakistan Limited</t>
  </si>
  <si>
    <t>GOC</t>
  </si>
  <si>
    <t>GOC (Pak) Limited</t>
  </si>
  <si>
    <t>PABC</t>
  </si>
  <si>
    <t>Pakistan Aluminium Beverage Cans Limited</t>
  </si>
  <si>
    <t>PHDL</t>
  </si>
  <si>
    <t>Pakistan Hotels Developers Limited</t>
  </si>
  <si>
    <t>PSEL</t>
  </si>
  <si>
    <t>Pakistan Services Limited</t>
  </si>
  <si>
    <t>SHFA</t>
  </si>
  <si>
    <t>Shifa International Hospitals Limited</t>
  </si>
  <si>
    <t>STPL</t>
  </si>
  <si>
    <t>Siddiqsons Tin Plate Limited</t>
  </si>
  <si>
    <t>TRIPF</t>
  </si>
  <si>
    <t>Tri-Pack Films Limited</t>
  </si>
  <si>
    <t>UBDL</t>
  </si>
  <si>
    <t>United Brands Limited</t>
  </si>
  <si>
    <t>UDLI</t>
  </si>
  <si>
    <t>UDL International Limited</t>
  </si>
  <si>
    <t>UDPL</t>
  </si>
  <si>
    <t>United Distributors Pakistan Limited</t>
  </si>
  <si>
    <t>DCTL</t>
  </si>
  <si>
    <t>Dadabhoy Construction Technology Limited</t>
  </si>
  <si>
    <t>HADC</t>
  </si>
  <si>
    <t>Hayderi Construction Company Limited</t>
  </si>
  <si>
    <t>MWMP</t>
  </si>
  <si>
    <t>Mandviwalla Mauser Plastic Industries Limited</t>
  </si>
  <si>
    <t>GEMBLUEX</t>
  </si>
  <si>
    <r>
      <t xml:space="preserve">Blue-Ex Limited </t>
    </r>
    <r>
      <rPr>
        <i/>
        <sz val="12"/>
        <rFont val="Calibri"/>
        <family val="2"/>
        <scheme val="minor"/>
      </rPr>
      <t>(Universal Network System Limited)</t>
    </r>
  </si>
  <si>
    <t>GEMBCEM</t>
  </si>
  <si>
    <t>Burj Clean Energy Modaraba</t>
  </si>
  <si>
    <t>GEMPAPL</t>
  </si>
  <si>
    <t>Pak Agro Packaging Limited</t>
  </si>
  <si>
    <t>GEMMEL</t>
  </si>
  <si>
    <t>Mughal Energy Limited</t>
  </si>
  <si>
    <t>GEMSPNL</t>
  </si>
  <si>
    <t>Supernet Limited</t>
  </si>
  <si>
    <t>YEAR_END</t>
  </si>
  <si>
    <t>FACE_VALUE</t>
  </si>
  <si>
    <t>NUMBER_OF_SHARE</t>
  </si>
  <si>
    <t>T_ASSETS</t>
  </si>
  <si>
    <t>BANK  CHARGES</t>
  </si>
  <si>
    <t>PBT</t>
  </si>
  <si>
    <t>PAT</t>
  </si>
  <si>
    <t>DIVIDEND %</t>
  </si>
  <si>
    <t>STOCK_DIVIDEND_%</t>
  </si>
  <si>
    <t>TOTAL_DIVIDEND_</t>
  </si>
  <si>
    <t>RIGHT_</t>
  </si>
  <si>
    <t>NSHARE_HOLDER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</si>
</sst>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_);\(#,##0.000\)"/>
    <numFmt numFmtId="165" formatCode="#,##0.000_);[Red]\(#,##0.000\)"/>
    <numFmt numFmtId="166" formatCode="#,##0.0_);\(#,##0.0\)"/>
    <numFmt numFmtId="167" formatCode="#,##0.000;[Red]\-#,##0.000"/>
    <numFmt numFmtId="168" formatCode="#,##0.0000_);[Red]\(#,##0.0000\)"/>
  </numFmts>
  <fonts count="9" x14ac:knownFonts="1">
    <font>
      <sz val="10"/>
      <name val="Arial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2"/>
      <color rgb="FF3333FF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16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/>
    <xf numFmtId="164" fontId="6" fillId="2" borderId="1" xfId="0" applyNumberFormat="1" applyFont="1" applyFill="1" applyBorder="1" applyAlignment="1">
      <alignment horizontal="center"/>
    </xf>
    <xf numFmtId="0" fontId="5" fillId="0" borderId="0" xfId="0" applyFont="1"/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38" fontId="4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5" fontId="1" fillId="0" borderId="4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 applyAlignment="1">
      <alignment horizontal="center"/>
    </xf>
    <xf numFmtId="165" fontId="7" fillId="0" borderId="4" xfId="0" applyNumberFormat="1" applyFont="1" applyBorder="1"/>
    <xf numFmtId="40" fontId="1" fillId="0" borderId="4" xfId="0" applyNumberFormat="1" applyFont="1" applyBorder="1"/>
    <xf numFmtId="40" fontId="7" fillId="0" borderId="4" xfId="0" applyNumberFormat="1" applyFont="1" applyBorder="1"/>
    <xf numFmtId="37" fontId="1" fillId="0" borderId="4" xfId="0" applyNumberFormat="1" applyFont="1" applyBorder="1"/>
    <xf numFmtId="0" fontId="1" fillId="0" borderId="4" xfId="0" applyFont="1" applyFill="1" applyBorder="1"/>
    <xf numFmtId="38" fontId="1" fillId="0" borderId="4" xfId="0" applyNumberFormat="1" applyFont="1" applyBorder="1" applyAlignment="1">
      <alignment horizontal="center"/>
    </xf>
    <xf numFmtId="15" fontId="1" fillId="0" borderId="4" xfId="0" applyNumberFormat="1" applyFont="1" applyFill="1" applyBorder="1"/>
    <xf numFmtId="165" fontId="1" fillId="0" borderId="4" xfId="0" applyNumberFormat="1" applyFont="1" applyFill="1" applyBorder="1"/>
    <xf numFmtId="166" fontId="1" fillId="0" borderId="4" xfId="0" applyNumberFormat="1" applyFont="1" applyFill="1" applyBorder="1" applyAlignment="1">
      <alignment horizontal="center"/>
    </xf>
    <xf numFmtId="165" fontId="7" fillId="0" borderId="4" xfId="0" applyNumberFormat="1" applyFont="1" applyFill="1" applyBorder="1"/>
    <xf numFmtId="40" fontId="1" fillId="0" borderId="4" xfId="0" applyNumberFormat="1" applyFont="1" applyFill="1" applyBorder="1"/>
    <xf numFmtId="40" fontId="7" fillId="0" borderId="4" xfId="0" applyNumberFormat="1" applyFont="1" applyFill="1" applyBorder="1"/>
    <xf numFmtId="37" fontId="1" fillId="0" borderId="4" xfId="0" applyNumberFormat="1" applyFont="1" applyFill="1" applyBorder="1"/>
    <xf numFmtId="0" fontId="2" fillId="0" borderId="0" xfId="0" applyFont="1" applyFill="1"/>
    <xf numFmtId="167" fontId="1" fillId="0" borderId="4" xfId="0" applyNumberFormat="1" applyFont="1" applyBorder="1"/>
    <xf numFmtId="38" fontId="1" fillId="0" borderId="4" xfId="0" applyNumberFormat="1" applyFont="1" applyFill="1" applyBorder="1" applyAlignment="1">
      <alignment horizontal="center"/>
    </xf>
    <xf numFmtId="168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5"/>
  <sheetViews>
    <sheetView showGridLines="0" tabSelected="1" zoomScale="85" zoomScaleNormal="85" workbookViewId="0">
      <pane xSplit="3" ySplit="1" topLeftCell="D2" activePane="bottomRight" state="frozen"/>
      <selection pane="topRight" activeCell="E1" sqref="E1"/>
      <selection pane="bottomLeft" activeCell="A6" sqref="A6"/>
      <selection pane="bottomRight" activeCell="C12" sqref="C12"/>
    </sheetView>
  </sheetViews>
  <sheetFormatPr defaultColWidth="9.140625" defaultRowHeight="12.75" x14ac:dyDescent="0.2"/>
  <cols>
    <col min="1" max="1" width="8.7109375" style="1" bestFit="1" customWidth="1"/>
    <col min="2" max="2" width="12.7109375" style="1" bestFit="1" customWidth="1"/>
    <col min="3" max="3" width="61.42578125" style="1" customWidth="1"/>
    <col min="4" max="4" width="13.140625" style="1" bestFit="1" customWidth="1"/>
    <col min="5" max="5" width="14.85546875" style="1" customWidth="1"/>
    <col min="6" max="6" width="8.5703125" style="1" bestFit="1" customWidth="1"/>
    <col min="7" max="7" width="13.7109375" style="2" bestFit="1" customWidth="1"/>
    <col min="8" max="8" width="14.85546875" style="1" customWidth="1"/>
    <col min="9" max="9" width="16.7109375" style="1" customWidth="1"/>
    <col min="10" max="10" width="16.7109375" style="1" bestFit="1" customWidth="1"/>
    <col min="11" max="11" width="13.7109375" style="1" customWidth="1"/>
    <col min="12" max="12" width="15.28515625" style="1" bestFit="1" customWidth="1"/>
    <col min="13" max="13" width="14.28515625" style="2" bestFit="1" customWidth="1"/>
    <col min="14" max="14" width="15" style="1" bestFit="1" customWidth="1"/>
    <col min="15" max="17" width="12.5703125" style="1" bestFit="1" customWidth="1"/>
    <col min="18" max="18" width="12.5703125" style="1" customWidth="1"/>
    <col min="19" max="19" width="13.5703125" style="1" bestFit="1" customWidth="1"/>
    <col min="20" max="16384" width="9.140625" style="1"/>
  </cols>
  <sheetData>
    <row r="1" spans="1:19" s="6" customFormat="1" ht="15" x14ac:dyDescent="0.25">
      <c r="A1" s="7" t="s">
        <v>0</v>
      </c>
      <c r="B1" s="8" t="s">
        <v>1</v>
      </c>
      <c r="C1" s="8" t="s">
        <v>6</v>
      </c>
      <c r="D1" s="9" t="s">
        <v>1074</v>
      </c>
      <c r="E1" s="9" t="s">
        <v>4</v>
      </c>
      <c r="F1" s="10" t="s">
        <v>1075</v>
      </c>
      <c r="G1" s="11" t="s">
        <v>1076</v>
      </c>
      <c r="H1" s="8" t="s">
        <v>2</v>
      </c>
      <c r="I1" s="4" t="s">
        <v>1077</v>
      </c>
      <c r="J1" s="8" t="s">
        <v>7</v>
      </c>
      <c r="K1" s="3" t="s">
        <v>1078</v>
      </c>
      <c r="L1" s="3" t="s">
        <v>1079</v>
      </c>
      <c r="M1" s="5" t="s">
        <v>3</v>
      </c>
      <c r="N1" s="3" t="s">
        <v>1080</v>
      </c>
      <c r="O1" s="8" t="s">
        <v>1081</v>
      </c>
      <c r="P1" s="3" t="s">
        <v>1082</v>
      </c>
      <c r="Q1" s="11" t="s">
        <v>1083</v>
      </c>
      <c r="R1" s="8" t="s">
        <v>1084</v>
      </c>
      <c r="S1" s="3" t="s">
        <v>1085</v>
      </c>
    </row>
    <row r="2" spans="1:19" ht="15.75" x14ac:dyDescent="0.25">
      <c r="A2" s="12">
        <v>1</v>
      </c>
      <c r="B2" s="12" t="s">
        <v>8</v>
      </c>
      <c r="C2" s="13" t="s">
        <v>9</v>
      </c>
      <c r="D2" s="14">
        <v>45473</v>
      </c>
      <c r="E2" s="15">
        <v>2835</v>
      </c>
      <c r="F2" s="16">
        <v>10</v>
      </c>
      <c r="G2" s="17">
        <f>+E2/F2</f>
        <v>283.5</v>
      </c>
      <c r="H2" s="15"/>
      <c r="I2" s="15"/>
      <c r="J2" s="15"/>
      <c r="K2" s="15"/>
      <c r="L2" s="15"/>
      <c r="M2" s="17">
        <f>+L2-N2</f>
        <v>0</v>
      </c>
      <c r="N2" s="15"/>
      <c r="O2" s="18">
        <f>7.5</f>
        <v>7.5</v>
      </c>
      <c r="P2" s="18"/>
      <c r="Q2" s="19">
        <f>SUM(O2:P2)</f>
        <v>7.5</v>
      </c>
      <c r="R2" s="18"/>
      <c r="S2" s="20"/>
    </row>
    <row r="3" spans="1:19" ht="15.75" x14ac:dyDescent="0.25">
      <c r="A3" s="12">
        <f>+A2+1</f>
        <v>2</v>
      </c>
      <c r="B3" s="12" t="s">
        <v>10</v>
      </c>
      <c r="C3" s="13" t="s">
        <v>11</v>
      </c>
      <c r="D3" s="14">
        <v>45473</v>
      </c>
      <c r="E3" s="15">
        <v>2841.25</v>
      </c>
      <c r="F3" s="16">
        <v>10</v>
      </c>
      <c r="G3" s="17">
        <f>+E3/F3</f>
        <v>284.125</v>
      </c>
      <c r="H3" s="15"/>
      <c r="I3" s="15"/>
      <c r="J3" s="15"/>
      <c r="K3" s="15"/>
      <c r="L3" s="15"/>
      <c r="M3" s="17">
        <f>+L3-N3</f>
        <v>0</v>
      </c>
      <c r="N3" s="15"/>
      <c r="O3" s="18">
        <f>2.6</f>
        <v>2.6</v>
      </c>
      <c r="P3" s="18"/>
      <c r="Q3" s="19">
        <f>SUM(O3:P3)</f>
        <v>2.6</v>
      </c>
      <c r="R3" s="18"/>
      <c r="S3" s="20"/>
    </row>
    <row r="4" spans="1:19" ht="15.75" x14ac:dyDescent="0.25">
      <c r="A4" s="12">
        <f>+A3+1</f>
        <v>3</v>
      </c>
      <c r="B4" s="12" t="s">
        <v>12</v>
      </c>
      <c r="C4" s="13" t="s">
        <v>13</v>
      </c>
      <c r="D4" s="14">
        <v>45473</v>
      </c>
      <c r="E4" s="15">
        <v>50</v>
      </c>
      <c r="F4" s="16">
        <v>10</v>
      </c>
      <c r="G4" s="17">
        <f>+E4/F4</f>
        <v>5</v>
      </c>
      <c r="H4" s="15">
        <v>71.860603999999995</v>
      </c>
      <c r="I4" s="15">
        <v>93.084914999999995</v>
      </c>
      <c r="J4" s="15">
        <v>26.952103999999999</v>
      </c>
      <c r="K4" s="15">
        <v>0</v>
      </c>
      <c r="L4" s="15">
        <v>24.588847999999999</v>
      </c>
      <c r="M4" s="17">
        <f>+L4-N4</f>
        <v>0.41537999999999897</v>
      </c>
      <c r="N4" s="15">
        <v>24.173468</v>
      </c>
      <c r="O4" s="18">
        <v>10</v>
      </c>
      <c r="P4" s="18">
        <v>0</v>
      </c>
      <c r="Q4" s="19">
        <f>SUM(O4:P4)</f>
        <v>10</v>
      </c>
      <c r="R4" s="18"/>
      <c r="S4" s="20">
        <v>2532</v>
      </c>
    </row>
    <row r="5" spans="1:19" ht="15.75" x14ac:dyDescent="0.25">
      <c r="A5" s="12">
        <v>1</v>
      </c>
      <c r="B5" s="12" t="s">
        <v>14</v>
      </c>
      <c r="C5" s="21" t="s">
        <v>15</v>
      </c>
      <c r="D5" s="14">
        <v>45473</v>
      </c>
      <c r="E5" s="15"/>
      <c r="F5" s="16">
        <v>10</v>
      </c>
      <c r="G5" s="17">
        <f>+E5/F5</f>
        <v>0</v>
      </c>
      <c r="H5" s="15"/>
      <c r="I5" s="15"/>
      <c r="J5" s="15"/>
      <c r="K5" s="15"/>
      <c r="L5" s="15"/>
      <c r="M5" s="17">
        <f>+L5-N5</f>
        <v>0</v>
      </c>
      <c r="N5" s="15"/>
      <c r="O5" s="18"/>
      <c r="P5" s="18"/>
      <c r="Q5" s="19">
        <f>SUM(O5:P5)</f>
        <v>0</v>
      </c>
      <c r="R5" s="18"/>
      <c r="S5" s="20"/>
    </row>
    <row r="6" spans="1:19" ht="15.75" x14ac:dyDescent="0.25">
      <c r="A6" s="12">
        <f>+A5+1</f>
        <v>2</v>
      </c>
      <c r="B6" s="12" t="s">
        <v>16</v>
      </c>
      <c r="C6" s="13" t="s">
        <v>17</v>
      </c>
      <c r="D6" s="14">
        <v>45473</v>
      </c>
      <c r="E6" s="15"/>
      <c r="F6" s="16">
        <v>10</v>
      </c>
      <c r="G6" s="17">
        <f>+E6/F6</f>
        <v>0</v>
      </c>
      <c r="H6" s="15"/>
      <c r="I6" s="15"/>
      <c r="J6" s="15"/>
      <c r="K6" s="15"/>
      <c r="L6" s="15"/>
      <c r="M6" s="17">
        <f>+L6-N6</f>
        <v>0</v>
      </c>
      <c r="N6" s="15"/>
      <c r="O6" s="18"/>
      <c r="P6" s="18"/>
      <c r="Q6" s="19">
        <f>SUM(O6:P6)</f>
        <v>0</v>
      </c>
      <c r="R6" s="18"/>
      <c r="S6" s="20"/>
    </row>
    <row r="7" spans="1:19" ht="15.75" x14ac:dyDescent="0.25">
      <c r="A7" s="12">
        <v>1</v>
      </c>
      <c r="B7" s="12" t="s">
        <v>18</v>
      </c>
      <c r="C7" s="13" t="s">
        <v>19</v>
      </c>
      <c r="D7" s="14">
        <v>45473</v>
      </c>
      <c r="E7" s="15">
        <v>75.151579999999996</v>
      </c>
      <c r="F7" s="16">
        <v>10</v>
      </c>
      <c r="G7" s="17">
        <f t="shared" ref="G7:G25" si="0">+E7/F7</f>
        <v>7.5151579999999996</v>
      </c>
      <c r="H7" s="15">
        <f>123.766938+17.604802</f>
        <v>141.37173999999999</v>
      </c>
      <c r="I7" s="15">
        <v>145.59083799999999</v>
      </c>
      <c r="J7" s="15">
        <v>18.445027</v>
      </c>
      <c r="K7" s="15">
        <v>0</v>
      </c>
      <c r="L7" s="15">
        <v>7.534224</v>
      </c>
      <c r="M7" s="17">
        <f t="shared" ref="M7:M25" si="1">+L7-N7</f>
        <v>1.2648349999999997</v>
      </c>
      <c r="N7" s="15">
        <v>6.2693890000000003</v>
      </c>
      <c r="O7" s="18">
        <v>0</v>
      </c>
      <c r="P7" s="18">
        <v>0</v>
      </c>
      <c r="Q7" s="19">
        <f t="shared" ref="Q7:Q25" si="2">SUM(O7:P7)</f>
        <v>0</v>
      </c>
      <c r="R7" s="18"/>
      <c r="S7" s="20">
        <v>1157</v>
      </c>
    </row>
    <row r="8" spans="1:19" ht="15.75" x14ac:dyDescent="0.25">
      <c r="A8" s="12">
        <f t="shared" ref="A8:A26" si="3">+A7+1</f>
        <v>2</v>
      </c>
      <c r="B8" s="12" t="s">
        <v>20</v>
      </c>
      <c r="C8" s="13" t="s">
        <v>21</v>
      </c>
      <c r="D8" s="14">
        <v>45473</v>
      </c>
      <c r="E8" s="15">
        <v>231</v>
      </c>
      <c r="F8" s="16">
        <v>10</v>
      </c>
      <c r="G8" s="17">
        <f t="shared" si="0"/>
        <v>23.1</v>
      </c>
      <c r="H8" s="15">
        <v>256.73854599999999</v>
      </c>
      <c r="I8" s="15">
        <v>269.11681900000002</v>
      </c>
      <c r="J8" s="15">
        <v>34.859717000000003</v>
      </c>
      <c r="K8" s="15">
        <v>2.7054999999999999E-2</v>
      </c>
      <c r="L8" s="15">
        <v>3.9852439999999998</v>
      </c>
      <c r="M8" s="17">
        <f t="shared" si="1"/>
        <v>3.5951399999999998</v>
      </c>
      <c r="N8" s="15">
        <v>0.39010400000000001</v>
      </c>
      <c r="O8" s="18">
        <v>0</v>
      </c>
      <c r="P8" s="18">
        <v>0</v>
      </c>
      <c r="Q8" s="19">
        <f t="shared" si="2"/>
        <v>0</v>
      </c>
      <c r="R8" s="18"/>
      <c r="S8" s="20">
        <v>544</v>
      </c>
    </row>
    <row r="9" spans="1:19" ht="15.75" x14ac:dyDescent="0.25">
      <c r="A9" s="12">
        <f t="shared" si="3"/>
        <v>3</v>
      </c>
      <c r="B9" s="12" t="s">
        <v>22</v>
      </c>
      <c r="C9" s="13" t="s">
        <v>23</v>
      </c>
      <c r="D9" s="14">
        <v>45473</v>
      </c>
      <c r="E9" s="15"/>
      <c r="F9" s="16">
        <v>10</v>
      </c>
      <c r="G9" s="17">
        <f t="shared" si="0"/>
        <v>0</v>
      </c>
      <c r="H9" s="15"/>
      <c r="I9" s="15"/>
      <c r="J9" s="15"/>
      <c r="K9" s="15"/>
      <c r="L9" s="15"/>
      <c r="M9" s="17">
        <f t="shared" si="1"/>
        <v>0</v>
      </c>
      <c r="N9" s="15"/>
      <c r="O9" s="18"/>
      <c r="P9" s="18"/>
      <c r="Q9" s="19">
        <f t="shared" si="2"/>
        <v>0</v>
      </c>
      <c r="R9" s="18"/>
      <c r="S9" s="20"/>
    </row>
    <row r="10" spans="1:19" ht="15.75" x14ac:dyDescent="0.25">
      <c r="A10" s="12">
        <f t="shared" si="3"/>
        <v>4</v>
      </c>
      <c r="B10" s="12" t="s">
        <v>24</v>
      </c>
      <c r="C10" s="13" t="s">
        <v>25</v>
      </c>
      <c r="D10" s="14">
        <v>45473</v>
      </c>
      <c r="E10" s="15">
        <v>113.4</v>
      </c>
      <c r="F10" s="16">
        <v>10</v>
      </c>
      <c r="G10" s="17">
        <f t="shared" si="0"/>
        <v>11.34</v>
      </c>
      <c r="H10" s="15">
        <v>122.03033000000001</v>
      </c>
      <c r="I10" s="15">
        <v>201.338517</v>
      </c>
      <c r="J10" s="15">
        <v>69.320516999999995</v>
      </c>
      <c r="K10" s="15">
        <v>1.1362000000000001E-2</v>
      </c>
      <c r="L10" s="15">
        <v>24.778880000000001</v>
      </c>
      <c r="M10" s="17">
        <f t="shared" si="1"/>
        <v>1.1371710000000022</v>
      </c>
      <c r="N10" s="15">
        <v>23.641708999999999</v>
      </c>
      <c r="O10" s="18">
        <v>0</v>
      </c>
      <c r="P10" s="18">
        <v>0</v>
      </c>
      <c r="Q10" s="19">
        <f t="shared" si="2"/>
        <v>0</v>
      </c>
      <c r="R10" s="18"/>
      <c r="S10" s="20">
        <v>4272</v>
      </c>
    </row>
    <row r="11" spans="1:19" ht="15.75" x14ac:dyDescent="0.25">
      <c r="A11" s="12">
        <f t="shared" si="3"/>
        <v>5</v>
      </c>
      <c r="B11" s="12" t="s">
        <v>26</v>
      </c>
      <c r="C11" s="13" t="s">
        <v>27</v>
      </c>
      <c r="D11" s="14">
        <v>45473</v>
      </c>
      <c r="E11" s="15">
        <v>524.4</v>
      </c>
      <c r="F11" s="16">
        <v>10</v>
      </c>
      <c r="G11" s="17">
        <f t="shared" si="0"/>
        <v>52.44</v>
      </c>
      <c r="H11" s="15"/>
      <c r="I11" s="15"/>
      <c r="J11" s="15"/>
      <c r="K11" s="15"/>
      <c r="L11" s="15">
        <v>-19.395</v>
      </c>
      <c r="M11" s="17">
        <f t="shared" si="1"/>
        <v>3.9999999999999147E-2</v>
      </c>
      <c r="N11" s="15">
        <v>-19.434999999999999</v>
      </c>
      <c r="O11" s="18">
        <v>0</v>
      </c>
      <c r="P11" s="18">
        <v>0</v>
      </c>
      <c r="Q11" s="19">
        <f t="shared" si="2"/>
        <v>0</v>
      </c>
      <c r="R11" s="18"/>
      <c r="S11" s="20"/>
    </row>
    <row r="12" spans="1:19" ht="15.75" x14ac:dyDescent="0.25">
      <c r="A12" s="12">
        <f t="shared" si="3"/>
        <v>6</v>
      </c>
      <c r="B12" s="12" t="s">
        <v>28</v>
      </c>
      <c r="C12" s="13" t="s">
        <v>29</v>
      </c>
      <c r="D12" s="14">
        <v>45473</v>
      </c>
      <c r="E12" s="15">
        <v>264.13803999999999</v>
      </c>
      <c r="F12" s="16">
        <v>10</v>
      </c>
      <c r="G12" s="17">
        <f t="shared" si="0"/>
        <v>26.413803999999999</v>
      </c>
      <c r="H12" s="15"/>
      <c r="I12" s="15"/>
      <c r="J12" s="15"/>
      <c r="K12" s="15"/>
      <c r="L12" s="15">
        <v>-22.75</v>
      </c>
      <c r="M12" s="17">
        <f t="shared" si="1"/>
        <v>0</v>
      </c>
      <c r="N12" s="15">
        <v>-22.75</v>
      </c>
      <c r="O12" s="18">
        <v>0</v>
      </c>
      <c r="P12" s="18">
        <v>0</v>
      </c>
      <c r="Q12" s="19">
        <f t="shared" si="2"/>
        <v>0</v>
      </c>
      <c r="R12" s="18"/>
      <c r="S12" s="20"/>
    </row>
    <row r="13" spans="1:19" ht="15.75" x14ac:dyDescent="0.25">
      <c r="A13" s="12">
        <f t="shared" si="3"/>
        <v>7</v>
      </c>
      <c r="B13" s="12" t="s">
        <v>30</v>
      </c>
      <c r="C13" s="13" t="s">
        <v>31</v>
      </c>
      <c r="D13" s="14">
        <v>45473</v>
      </c>
      <c r="E13" s="15">
        <v>1108.3050000000001</v>
      </c>
      <c r="F13" s="16">
        <v>5</v>
      </c>
      <c r="G13" s="17">
        <f t="shared" si="0"/>
        <v>221.661</v>
      </c>
      <c r="H13" s="15">
        <v>5074.4273300000004</v>
      </c>
      <c r="I13" s="15">
        <v>26409.925192999999</v>
      </c>
      <c r="J13" s="15">
        <f>5184.636965</f>
        <v>5184.6369649999997</v>
      </c>
      <c r="K13" s="15">
        <v>3505.342815</v>
      </c>
      <c r="L13" s="15">
        <v>1197.2609399999999</v>
      </c>
      <c r="M13" s="17">
        <f t="shared" si="1"/>
        <v>507.06359899999984</v>
      </c>
      <c r="N13" s="15">
        <v>690.19734100000005</v>
      </c>
      <c r="O13" s="18">
        <v>21</v>
      </c>
      <c r="P13" s="18">
        <v>0</v>
      </c>
      <c r="Q13" s="19">
        <f t="shared" si="2"/>
        <v>21</v>
      </c>
      <c r="R13" s="18"/>
      <c r="S13" s="20">
        <v>5157</v>
      </c>
    </row>
    <row r="14" spans="1:19" ht="15.75" x14ac:dyDescent="0.25">
      <c r="A14" s="12">
        <f t="shared" si="3"/>
        <v>8</v>
      </c>
      <c r="B14" s="12" t="s">
        <v>32</v>
      </c>
      <c r="C14" s="13" t="s">
        <v>33</v>
      </c>
      <c r="D14" s="14">
        <v>45473</v>
      </c>
      <c r="E14" s="15"/>
      <c r="F14" s="16">
        <v>10</v>
      </c>
      <c r="G14" s="17">
        <f t="shared" si="0"/>
        <v>0</v>
      </c>
      <c r="H14" s="15"/>
      <c r="I14" s="15"/>
      <c r="J14" s="15"/>
      <c r="K14" s="15"/>
      <c r="L14" s="15"/>
      <c r="M14" s="17">
        <f t="shared" si="1"/>
        <v>0</v>
      </c>
      <c r="N14" s="15"/>
      <c r="O14" s="18"/>
      <c r="P14" s="18"/>
      <c r="Q14" s="19">
        <f t="shared" si="2"/>
        <v>0</v>
      </c>
      <c r="R14" s="18"/>
      <c r="S14" s="20"/>
    </row>
    <row r="15" spans="1:19" ht="15.75" x14ac:dyDescent="0.25">
      <c r="A15" s="12">
        <f t="shared" si="3"/>
        <v>9</v>
      </c>
      <c r="B15" s="12" t="s">
        <v>34</v>
      </c>
      <c r="C15" s="13" t="s">
        <v>35</v>
      </c>
      <c r="D15" s="14">
        <v>45473</v>
      </c>
      <c r="E15" s="15">
        <v>30</v>
      </c>
      <c r="F15" s="16">
        <v>10</v>
      </c>
      <c r="G15" s="17">
        <f t="shared" si="0"/>
        <v>3</v>
      </c>
      <c r="H15" s="15">
        <v>221.85796199999999</v>
      </c>
      <c r="I15" s="15">
        <v>539.69161999999994</v>
      </c>
      <c r="J15" s="15">
        <v>1260.138291</v>
      </c>
      <c r="K15" s="15">
        <v>34.134898</v>
      </c>
      <c r="L15" s="15">
        <v>72.318548000000007</v>
      </c>
      <c r="M15" s="17">
        <f t="shared" si="1"/>
        <v>0</v>
      </c>
      <c r="N15" s="15">
        <v>72.318548000000007</v>
      </c>
      <c r="O15" s="18">
        <v>150</v>
      </c>
      <c r="P15" s="18">
        <v>0</v>
      </c>
      <c r="Q15" s="19">
        <f t="shared" si="2"/>
        <v>150</v>
      </c>
      <c r="R15" s="18"/>
      <c r="S15" s="20">
        <v>219</v>
      </c>
    </row>
    <row r="16" spans="1:19" ht="15.75" x14ac:dyDescent="0.25">
      <c r="A16" s="12">
        <f t="shared" si="3"/>
        <v>10</v>
      </c>
      <c r="B16" s="12" t="s">
        <v>36</v>
      </c>
      <c r="C16" s="21" t="s">
        <v>37</v>
      </c>
      <c r="D16" s="14">
        <v>45473</v>
      </c>
      <c r="E16" s="15"/>
      <c r="F16" s="16">
        <v>10</v>
      </c>
      <c r="G16" s="17">
        <f t="shared" si="0"/>
        <v>0</v>
      </c>
      <c r="H16" s="15"/>
      <c r="I16" s="15"/>
      <c r="J16" s="15"/>
      <c r="K16" s="15"/>
      <c r="L16" s="15"/>
      <c r="M16" s="17">
        <f t="shared" si="1"/>
        <v>0</v>
      </c>
      <c r="N16" s="15"/>
      <c r="O16" s="18"/>
      <c r="P16" s="18"/>
      <c r="Q16" s="19">
        <f t="shared" si="2"/>
        <v>0</v>
      </c>
      <c r="R16" s="18"/>
      <c r="S16" s="20"/>
    </row>
    <row r="17" spans="1:19" ht="15.75" x14ac:dyDescent="0.25">
      <c r="A17" s="12">
        <f t="shared" si="3"/>
        <v>11</v>
      </c>
      <c r="B17" s="12" t="s">
        <v>38</v>
      </c>
      <c r="C17" s="13" t="s">
        <v>39</v>
      </c>
      <c r="D17" s="14">
        <v>45473</v>
      </c>
      <c r="E17" s="15">
        <v>137.88419300000001</v>
      </c>
      <c r="F17" s="16">
        <v>10</v>
      </c>
      <c r="G17" s="17">
        <f t="shared" si="0"/>
        <v>13.788419300000001</v>
      </c>
      <c r="H17" s="15">
        <v>249.99484799999999</v>
      </c>
      <c r="I17" s="15">
        <v>474.91436700000003</v>
      </c>
      <c r="J17" s="15">
        <v>105.151647</v>
      </c>
      <c r="K17" s="15">
        <v>21.556892999999999</v>
      </c>
      <c r="L17" s="15">
        <v>40.037726999999997</v>
      </c>
      <c r="M17" s="17">
        <f t="shared" si="1"/>
        <v>11.495249999999995</v>
      </c>
      <c r="N17" s="15">
        <v>28.542477000000002</v>
      </c>
      <c r="O17" s="18">
        <v>0</v>
      </c>
      <c r="P17" s="18">
        <v>0</v>
      </c>
      <c r="Q17" s="19">
        <f t="shared" si="2"/>
        <v>0</v>
      </c>
      <c r="R17" s="18"/>
      <c r="S17" s="20">
        <v>1210</v>
      </c>
    </row>
    <row r="18" spans="1:19" ht="15.75" x14ac:dyDescent="0.25">
      <c r="A18" s="12">
        <f t="shared" si="3"/>
        <v>12</v>
      </c>
      <c r="B18" s="12" t="s">
        <v>40</v>
      </c>
      <c r="C18" s="13" t="s">
        <v>41</v>
      </c>
      <c r="D18" s="14">
        <v>45473</v>
      </c>
      <c r="E18" s="15">
        <v>8835.9028699999999</v>
      </c>
      <c r="F18" s="16">
        <v>10</v>
      </c>
      <c r="G18" s="17">
        <f>+E18/F18</f>
        <v>883.59028699999999</v>
      </c>
      <c r="H18" s="15">
        <v>3341.7350000000001</v>
      </c>
      <c r="I18" s="15">
        <v>3948.163</v>
      </c>
      <c r="J18" s="15">
        <v>4148.2619999999997</v>
      </c>
      <c r="K18" s="15">
        <v>2.8420000000000001</v>
      </c>
      <c r="L18" s="15">
        <v>216.49299999999999</v>
      </c>
      <c r="M18" s="17">
        <f>+L18-N18</f>
        <v>-49.896000000000015</v>
      </c>
      <c r="N18" s="15">
        <v>266.38900000000001</v>
      </c>
      <c r="O18" s="18">
        <v>0</v>
      </c>
      <c r="P18" s="18">
        <v>0</v>
      </c>
      <c r="Q18" s="19">
        <f>SUM(O18:P18)</f>
        <v>0</v>
      </c>
      <c r="R18" s="18"/>
      <c r="S18" s="20">
        <v>488</v>
      </c>
    </row>
    <row r="19" spans="1:19" ht="15.75" x14ac:dyDescent="0.25">
      <c r="A19" s="12">
        <f t="shared" si="3"/>
        <v>13</v>
      </c>
      <c r="B19" s="12" t="s">
        <v>42</v>
      </c>
      <c r="C19" s="13" t="s">
        <v>43</v>
      </c>
      <c r="D19" s="14">
        <v>45473</v>
      </c>
      <c r="E19" s="15">
        <v>211.63104000000001</v>
      </c>
      <c r="F19" s="16">
        <v>10</v>
      </c>
      <c r="G19" s="17">
        <f t="shared" si="0"/>
        <v>21.163104000000001</v>
      </c>
      <c r="H19" s="15">
        <v>410.73377799999997</v>
      </c>
      <c r="I19" s="15">
        <v>565.30668200000002</v>
      </c>
      <c r="J19" s="15">
        <v>34.826749999999997</v>
      </c>
      <c r="K19" s="15">
        <v>1.9092629999999999</v>
      </c>
      <c r="L19" s="15">
        <v>0.50688299999999997</v>
      </c>
      <c r="M19" s="17">
        <f t="shared" si="1"/>
        <v>-1.1548700000000001</v>
      </c>
      <c r="N19" s="15">
        <v>1.661753</v>
      </c>
      <c r="O19" s="18">
        <f>20+20</f>
        <v>40</v>
      </c>
      <c r="P19" s="18">
        <v>0</v>
      </c>
      <c r="Q19" s="19">
        <f t="shared" si="2"/>
        <v>40</v>
      </c>
      <c r="R19" s="18"/>
      <c r="S19" s="20">
        <v>2585</v>
      </c>
    </row>
    <row r="20" spans="1:19" ht="15.75" x14ac:dyDescent="0.25">
      <c r="A20" s="12">
        <f t="shared" si="3"/>
        <v>14</v>
      </c>
      <c r="B20" s="12" t="s">
        <v>44</v>
      </c>
      <c r="C20" s="21" t="s">
        <v>45</v>
      </c>
      <c r="D20" s="14">
        <v>45473</v>
      </c>
      <c r="E20" s="15">
        <v>1293.9167600000001</v>
      </c>
      <c r="F20" s="16">
        <v>10</v>
      </c>
      <c r="G20" s="17">
        <f t="shared" si="0"/>
        <v>129.39167600000002</v>
      </c>
      <c r="H20" s="15">
        <v>751.77387399999998</v>
      </c>
      <c r="I20" s="15">
        <v>1021.460033</v>
      </c>
      <c r="J20" s="15">
        <v>201.65152</v>
      </c>
      <c r="K20" s="15">
        <v>36.443826000000001</v>
      </c>
      <c r="L20" s="15">
        <v>71.261009000000001</v>
      </c>
      <c r="M20" s="17">
        <f t="shared" si="1"/>
        <v>9.5650690000000012</v>
      </c>
      <c r="N20" s="15">
        <v>61.69594</v>
      </c>
      <c r="O20" s="18">
        <v>3</v>
      </c>
      <c r="P20" s="18">
        <v>0</v>
      </c>
      <c r="Q20" s="19">
        <f t="shared" si="2"/>
        <v>3</v>
      </c>
      <c r="R20" s="18"/>
      <c r="S20" s="20">
        <v>15503</v>
      </c>
    </row>
    <row r="21" spans="1:19" ht="15.75" x14ac:dyDescent="0.25">
      <c r="A21" s="12">
        <f t="shared" si="3"/>
        <v>15</v>
      </c>
      <c r="B21" s="12" t="s">
        <v>46</v>
      </c>
      <c r="C21" s="21" t="s">
        <v>47</v>
      </c>
      <c r="D21" s="14">
        <v>45473</v>
      </c>
      <c r="E21" s="15">
        <v>140</v>
      </c>
      <c r="F21" s="16">
        <v>10</v>
      </c>
      <c r="G21" s="17">
        <f>+E21/F21</f>
        <v>14</v>
      </c>
      <c r="H21" s="15">
        <v>213.63169199999999</v>
      </c>
      <c r="I21" s="15">
        <v>232.65375700000001</v>
      </c>
      <c r="J21" s="15">
        <v>45.693424999999998</v>
      </c>
      <c r="K21" s="15">
        <v>0</v>
      </c>
      <c r="L21" s="15">
        <v>28.246569000000001</v>
      </c>
      <c r="M21" s="17">
        <f>+L21-N21</f>
        <v>3.5505589999999998</v>
      </c>
      <c r="N21" s="15">
        <v>24.696010000000001</v>
      </c>
      <c r="O21" s="18">
        <v>10</v>
      </c>
      <c r="P21" s="18">
        <v>0</v>
      </c>
      <c r="Q21" s="19">
        <f>SUM(O21:P21)</f>
        <v>10</v>
      </c>
      <c r="R21" s="18"/>
      <c r="S21" s="20">
        <v>1001</v>
      </c>
    </row>
    <row r="22" spans="1:19" ht="15.75" x14ac:dyDescent="0.25">
      <c r="A22" s="12">
        <f t="shared" si="3"/>
        <v>16</v>
      </c>
      <c r="B22" s="12" t="s">
        <v>48</v>
      </c>
      <c r="C22" s="21" t="s">
        <v>49</v>
      </c>
      <c r="D22" s="14">
        <v>45473</v>
      </c>
      <c r="E22" s="15">
        <v>750</v>
      </c>
      <c r="F22" s="16">
        <v>10</v>
      </c>
      <c r="G22" s="17">
        <f>+E22/F22</f>
        <v>75</v>
      </c>
      <c r="H22" s="15">
        <v>1396.6245349999999</v>
      </c>
      <c r="I22" s="15">
        <v>2331.5243221999999</v>
      </c>
      <c r="J22" s="15">
        <v>2122.2229499999999</v>
      </c>
      <c r="K22" s="15">
        <v>119.44830899999999</v>
      </c>
      <c r="L22" s="15">
        <v>364.882138</v>
      </c>
      <c r="M22" s="17">
        <f>+L22-N22</f>
        <v>146.51126099999999</v>
      </c>
      <c r="N22" s="15">
        <v>218.37087700000001</v>
      </c>
      <c r="O22" s="18">
        <v>12</v>
      </c>
      <c r="P22" s="18">
        <v>0</v>
      </c>
      <c r="Q22" s="19">
        <f>SUM(O22:P22)</f>
        <v>12</v>
      </c>
      <c r="R22" s="18"/>
      <c r="S22" s="20">
        <v>639</v>
      </c>
    </row>
    <row r="23" spans="1:19" ht="15.75" x14ac:dyDescent="0.25">
      <c r="A23" s="12">
        <f t="shared" si="3"/>
        <v>17</v>
      </c>
      <c r="B23" s="12" t="s">
        <v>50</v>
      </c>
      <c r="C23" s="13" t="s">
        <v>51</v>
      </c>
      <c r="D23" s="14">
        <v>45473</v>
      </c>
      <c r="E23" s="15">
        <v>453.83530000000002</v>
      </c>
      <c r="F23" s="16">
        <v>10</v>
      </c>
      <c r="G23" s="17">
        <f t="shared" si="0"/>
        <v>45.38353</v>
      </c>
      <c r="H23" s="15">
        <v>1243.592699</v>
      </c>
      <c r="I23" s="15">
        <v>7738.3352080000004</v>
      </c>
      <c r="J23" s="15">
        <v>2111.413924</v>
      </c>
      <c r="K23" s="15">
        <v>1090.503471</v>
      </c>
      <c r="L23" s="15">
        <v>223.85925800000001</v>
      </c>
      <c r="M23" s="17">
        <f t="shared" si="1"/>
        <v>66.122071000000005</v>
      </c>
      <c r="N23" s="15">
        <v>157.73718700000001</v>
      </c>
      <c r="O23" s="18">
        <v>20</v>
      </c>
      <c r="P23" s="18">
        <v>0</v>
      </c>
      <c r="Q23" s="19">
        <f t="shared" si="2"/>
        <v>20</v>
      </c>
      <c r="R23" s="18"/>
      <c r="S23" s="20">
        <v>8255</v>
      </c>
    </row>
    <row r="24" spans="1:19" ht="15.75" x14ac:dyDescent="0.25">
      <c r="A24" s="12">
        <f t="shared" si="3"/>
        <v>18</v>
      </c>
      <c r="B24" s="12" t="s">
        <v>52</v>
      </c>
      <c r="C24" s="13" t="s">
        <v>53</v>
      </c>
      <c r="D24" s="14">
        <v>45473</v>
      </c>
      <c r="E24" s="15">
        <v>450</v>
      </c>
      <c r="F24" s="16">
        <v>10</v>
      </c>
      <c r="G24" s="17">
        <f t="shared" si="0"/>
        <v>45</v>
      </c>
      <c r="H24" s="15">
        <v>1867.3099010000001</v>
      </c>
      <c r="I24" s="15">
        <v>1938.2022890000001</v>
      </c>
      <c r="J24" s="15">
        <v>407.34078599999998</v>
      </c>
      <c r="K24" s="15">
        <v>0</v>
      </c>
      <c r="L24" s="15">
        <v>306.49037399999997</v>
      </c>
      <c r="M24" s="17">
        <f t="shared" si="1"/>
        <v>105.15985399999997</v>
      </c>
      <c r="N24" s="15">
        <v>201.33052000000001</v>
      </c>
      <c r="O24" s="18">
        <v>12.5</v>
      </c>
      <c r="P24" s="18">
        <v>0</v>
      </c>
      <c r="Q24" s="19">
        <f t="shared" si="2"/>
        <v>12.5</v>
      </c>
      <c r="R24" s="18"/>
      <c r="S24" s="20">
        <v>860</v>
      </c>
    </row>
    <row r="25" spans="1:19" ht="15.75" x14ac:dyDescent="0.25">
      <c r="A25" s="12">
        <f t="shared" si="3"/>
        <v>19</v>
      </c>
      <c r="B25" s="12" t="s">
        <v>54</v>
      </c>
      <c r="C25" s="13" t="s">
        <v>55</v>
      </c>
      <c r="D25" s="14">
        <v>45473</v>
      </c>
      <c r="E25" s="15">
        <v>298</v>
      </c>
      <c r="F25" s="16">
        <v>10</v>
      </c>
      <c r="G25" s="17">
        <f t="shared" si="0"/>
        <v>29.8</v>
      </c>
      <c r="H25" s="15">
        <v>347.73757499999999</v>
      </c>
      <c r="I25" s="15">
        <v>414.351428</v>
      </c>
      <c r="J25" s="15">
        <v>61.904581</v>
      </c>
      <c r="K25" s="15">
        <v>0</v>
      </c>
      <c r="L25" s="15">
        <v>26.072817000000001</v>
      </c>
      <c r="M25" s="17">
        <f t="shared" si="1"/>
        <v>4.8416910000000009</v>
      </c>
      <c r="N25" s="15">
        <v>21.231126</v>
      </c>
      <c r="O25" s="18">
        <v>5</v>
      </c>
      <c r="P25" s="18">
        <v>0</v>
      </c>
      <c r="Q25" s="19">
        <f t="shared" si="2"/>
        <v>5</v>
      </c>
      <c r="R25" s="18"/>
      <c r="S25" s="20">
        <v>2522</v>
      </c>
    </row>
    <row r="26" spans="1:19" ht="15.75" x14ac:dyDescent="0.25">
      <c r="A26" s="12">
        <f t="shared" si="3"/>
        <v>20</v>
      </c>
      <c r="B26" s="12" t="s">
        <v>56</v>
      </c>
      <c r="C26" s="13" t="s">
        <v>57</v>
      </c>
      <c r="D26" s="14">
        <v>45473</v>
      </c>
      <c r="E26" s="15"/>
      <c r="F26" s="16">
        <v>10</v>
      </c>
      <c r="G26" s="17">
        <f>+E26/F26</f>
        <v>0</v>
      </c>
      <c r="H26" s="15"/>
      <c r="I26" s="15"/>
      <c r="J26" s="15"/>
      <c r="K26" s="15"/>
      <c r="L26" s="15"/>
      <c r="M26" s="17">
        <f>+L26-N26</f>
        <v>0</v>
      </c>
      <c r="N26" s="15"/>
      <c r="O26" s="18"/>
      <c r="P26" s="18"/>
      <c r="Q26" s="19">
        <f>SUM(O26:P26)</f>
        <v>0</v>
      </c>
      <c r="R26" s="18"/>
      <c r="S26" s="20"/>
    </row>
    <row r="27" spans="1:19" ht="15.75" x14ac:dyDescent="0.25">
      <c r="A27" s="12">
        <v>1</v>
      </c>
      <c r="B27" s="12" t="s">
        <v>58</v>
      </c>
      <c r="C27" s="13" t="s">
        <v>59</v>
      </c>
      <c r="D27" s="14">
        <v>45473</v>
      </c>
      <c r="E27" s="15"/>
      <c r="F27" s="16">
        <v>10</v>
      </c>
      <c r="G27" s="17">
        <f>+E27/F27</f>
        <v>0</v>
      </c>
      <c r="H27" s="15"/>
      <c r="I27" s="15"/>
      <c r="J27" s="15"/>
      <c r="K27" s="15"/>
      <c r="L27" s="15"/>
      <c r="M27" s="17">
        <f>+L27-N27</f>
        <v>0</v>
      </c>
      <c r="N27" s="15"/>
      <c r="O27" s="18"/>
      <c r="P27" s="18"/>
      <c r="Q27" s="19">
        <f>SUM(O27:P27)</f>
        <v>0</v>
      </c>
      <c r="R27" s="18"/>
      <c r="S27" s="20"/>
    </row>
    <row r="28" spans="1:19" ht="15.75" x14ac:dyDescent="0.25">
      <c r="A28" s="12">
        <f>+A27+1</f>
        <v>2</v>
      </c>
      <c r="B28" s="12" t="s">
        <v>60</v>
      </c>
      <c r="C28" s="13" t="s">
        <v>61</v>
      </c>
      <c r="D28" s="14">
        <v>45473</v>
      </c>
      <c r="E28" s="15">
        <v>250</v>
      </c>
      <c r="F28" s="16">
        <v>10</v>
      </c>
      <c r="G28" s="17">
        <f>+E28/F28</f>
        <v>25</v>
      </c>
      <c r="H28" s="15">
        <v>-20.844995999999998</v>
      </c>
      <c r="I28" s="15">
        <v>402.50634200000002</v>
      </c>
      <c r="J28" s="15">
        <v>50.181646000000001</v>
      </c>
      <c r="K28" s="15">
        <v>49.59516</v>
      </c>
      <c r="L28" s="15">
        <v>43.004210999999998</v>
      </c>
      <c r="M28" s="17">
        <f>+L28-N28</f>
        <v>8.2447919999999968</v>
      </c>
      <c r="N28" s="15">
        <v>34.759419000000001</v>
      </c>
      <c r="O28" s="18">
        <v>0</v>
      </c>
      <c r="P28" s="18">
        <v>0</v>
      </c>
      <c r="Q28" s="19">
        <f>SUM(O28:P28)</f>
        <v>0</v>
      </c>
      <c r="R28" s="18"/>
      <c r="S28" s="20">
        <v>1046</v>
      </c>
    </row>
    <row r="29" spans="1:19" ht="15.75" x14ac:dyDescent="0.25">
      <c r="A29" s="12">
        <v>1</v>
      </c>
      <c r="B29" s="12" t="s">
        <v>62</v>
      </c>
      <c r="C29" s="13" t="s">
        <v>63</v>
      </c>
      <c r="D29" s="14">
        <v>45473</v>
      </c>
      <c r="E29" s="15">
        <v>215</v>
      </c>
      <c r="F29" s="16">
        <v>10</v>
      </c>
      <c r="G29" s="17">
        <f t="shared" ref="G29:G30" si="4">+E29/F29</f>
        <v>21.5</v>
      </c>
      <c r="H29" s="15">
        <v>71.153002999999998</v>
      </c>
      <c r="I29" s="15">
        <v>298.11664400000001</v>
      </c>
      <c r="J29" s="15">
        <v>30.514766999999999</v>
      </c>
      <c r="K29" s="15">
        <v>0.47839500000000001</v>
      </c>
      <c r="L29" s="15">
        <v>14.774065999999999</v>
      </c>
      <c r="M29" s="17">
        <f t="shared" ref="M29:M30" si="5">+L29-N29</f>
        <v>7.0119819999999997</v>
      </c>
      <c r="N29" s="15">
        <v>7.7620839999999998</v>
      </c>
      <c r="O29" s="18">
        <v>0</v>
      </c>
      <c r="P29" s="18">
        <v>0</v>
      </c>
      <c r="Q29" s="19">
        <f t="shared" ref="Q29" si="6">SUM(O29:P29)</f>
        <v>0</v>
      </c>
      <c r="R29" s="18"/>
      <c r="S29" s="20">
        <v>415</v>
      </c>
    </row>
    <row r="30" spans="1:19" ht="15.75" x14ac:dyDescent="0.25">
      <c r="A30" s="12">
        <f>+A29+1</f>
        <v>2</v>
      </c>
      <c r="B30" s="12" t="s">
        <v>64</v>
      </c>
      <c r="C30" s="13" t="s">
        <v>65</v>
      </c>
      <c r="D30" s="14">
        <v>45473</v>
      </c>
      <c r="E30" s="15">
        <v>494.71109999999999</v>
      </c>
      <c r="F30" s="16">
        <v>10</v>
      </c>
      <c r="G30" s="17">
        <f t="shared" si="4"/>
        <v>49.471109999999996</v>
      </c>
      <c r="H30" s="15">
        <v>910.35651199999995</v>
      </c>
      <c r="I30" s="15">
        <v>1950.5192079999999</v>
      </c>
      <c r="J30" s="15">
        <v>281.35556300000002</v>
      </c>
      <c r="K30" s="15">
        <v>77.541089999999997</v>
      </c>
      <c r="L30" s="15">
        <v>142.94767200000001</v>
      </c>
      <c r="M30" s="17">
        <f t="shared" si="5"/>
        <v>64.149146000000016</v>
      </c>
      <c r="N30" s="15">
        <v>78.798525999999995</v>
      </c>
      <c r="O30" s="18">
        <v>0</v>
      </c>
      <c r="P30" s="18">
        <v>0</v>
      </c>
      <c r="Q30" s="19">
        <f t="shared" ref="Q30" si="7">SUM(O30:P30)</f>
        <v>0</v>
      </c>
      <c r="R30" s="18"/>
      <c r="S30" s="20">
        <v>386</v>
      </c>
    </row>
    <row r="31" spans="1:19" ht="15.75" x14ac:dyDescent="0.25">
      <c r="A31" s="12">
        <v>1</v>
      </c>
      <c r="B31" s="12" t="s">
        <v>66</v>
      </c>
      <c r="C31" s="13" t="s">
        <v>67</v>
      </c>
      <c r="D31" s="14">
        <v>45473</v>
      </c>
      <c r="E31" s="15"/>
      <c r="F31" s="16">
        <v>10</v>
      </c>
      <c r="G31" s="17">
        <f>+E31/F31</f>
        <v>0</v>
      </c>
      <c r="H31" s="15"/>
      <c r="I31" s="15"/>
      <c r="J31" s="15"/>
      <c r="K31" s="15"/>
      <c r="L31" s="15"/>
      <c r="M31" s="17">
        <f>+L31-N31</f>
        <v>0</v>
      </c>
      <c r="N31" s="15"/>
      <c r="O31" s="18"/>
      <c r="P31" s="18"/>
      <c r="Q31" s="19">
        <f>SUM(O31:P31)</f>
        <v>0</v>
      </c>
      <c r="R31" s="18"/>
      <c r="S31" s="20"/>
    </row>
    <row r="32" spans="1:19" ht="15.75" x14ac:dyDescent="0.25">
      <c r="A32" s="12">
        <f>+A31+1</f>
        <v>2</v>
      </c>
      <c r="B32" s="12" t="s">
        <v>68</v>
      </c>
      <c r="C32" s="13" t="s">
        <v>69</v>
      </c>
      <c r="D32" s="14">
        <v>45473</v>
      </c>
      <c r="E32" s="15"/>
      <c r="F32" s="16">
        <v>10</v>
      </c>
      <c r="G32" s="17">
        <f>+E32/F32</f>
        <v>0</v>
      </c>
      <c r="H32" s="15"/>
      <c r="I32" s="15"/>
      <c r="J32" s="15"/>
      <c r="K32" s="15"/>
      <c r="L32" s="15"/>
      <c r="M32" s="17">
        <f>+L32-N32</f>
        <v>0</v>
      </c>
      <c r="N32" s="15"/>
      <c r="O32" s="18"/>
      <c r="P32" s="18"/>
      <c r="Q32" s="19">
        <f>SUM(O32:P32)</f>
        <v>0</v>
      </c>
      <c r="R32" s="18"/>
      <c r="S32" s="20"/>
    </row>
    <row r="33" spans="1:19" ht="15.75" x14ac:dyDescent="0.25">
      <c r="A33" s="12">
        <f t="shared" ref="A33:A35" si="8">+A32+1</f>
        <v>3</v>
      </c>
      <c r="B33" s="12" t="s">
        <v>70</v>
      </c>
      <c r="C33" s="13" t="s">
        <v>71</v>
      </c>
      <c r="D33" s="14">
        <v>45473</v>
      </c>
      <c r="E33" s="15">
        <v>438.02775000000003</v>
      </c>
      <c r="F33" s="16">
        <v>10</v>
      </c>
      <c r="G33" s="17">
        <f>+E33/F33</f>
        <v>43.802775000000004</v>
      </c>
      <c r="H33" s="15">
        <v>45.891832999999998</v>
      </c>
      <c r="I33" s="15">
        <v>541.60520599999995</v>
      </c>
      <c r="J33" s="15">
        <v>15.564083999999999</v>
      </c>
      <c r="K33" s="15">
        <v>3.8990000000000001E-3</v>
      </c>
      <c r="L33" s="15">
        <v>15.970905999999999</v>
      </c>
      <c r="M33" s="17">
        <f>+L33-N33</f>
        <v>0</v>
      </c>
      <c r="N33" s="15">
        <v>15.970905999999999</v>
      </c>
      <c r="O33" s="18">
        <v>0</v>
      </c>
      <c r="P33" s="18">
        <v>0</v>
      </c>
      <c r="Q33" s="19">
        <f>SUM(O33:P33)</f>
        <v>0</v>
      </c>
      <c r="R33" s="18"/>
      <c r="S33" s="20">
        <v>405</v>
      </c>
    </row>
    <row r="34" spans="1:19" ht="15.75" x14ac:dyDescent="0.25">
      <c r="A34" s="12">
        <f t="shared" si="8"/>
        <v>4</v>
      </c>
      <c r="B34" s="12" t="s">
        <v>72</v>
      </c>
      <c r="C34" s="13" t="s">
        <v>73</v>
      </c>
      <c r="D34" s="14">
        <v>45657</v>
      </c>
      <c r="E34" s="15"/>
      <c r="F34" s="16">
        <v>10</v>
      </c>
      <c r="G34" s="17">
        <f t="shared" ref="G34" si="9">+E34/F34</f>
        <v>0</v>
      </c>
      <c r="H34" s="15"/>
      <c r="I34" s="15"/>
      <c r="J34" s="15"/>
      <c r="K34" s="15"/>
      <c r="L34" s="15"/>
      <c r="M34" s="17">
        <f t="shared" ref="M34" si="10">+L34-N34</f>
        <v>0</v>
      </c>
      <c r="N34" s="15"/>
      <c r="O34" s="18"/>
      <c r="P34" s="18"/>
      <c r="Q34" s="19">
        <f t="shared" ref="Q34" si="11">SUM(O34:P34)</f>
        <v>0</v>
      </c>
      <c r="R34" s="18"/>
      <c r="S34" s="20"/>
    </row>
    <row r="35" spans="1:19" ht="15.75" x14ac:dyDescent="0.25">
      <c r="A35" s="12">
        <f t="shared" si="8"/>
        <v>5</v>
      </c>
      <c r="B35" s="12" t="s">
        <v>74</v>
      </c>
      <c r="C35" s="13" t="s">
        <v>75</v>
      </c>
      <c r="D35" s="14">
        <v>45473</v>
      </c>
      <c r="E35" s="15">
        <v>979.81349999999998</v>
      </c>
      <c r="F35" s="16">
        <v>10</v>
      </c>
      <c r="G35" s="17">
        <f>+E35/F35</f>
        <v>97.981349999999992</v>
      </c>
      <c r="H35" s="15">
        <v>-459.73666300000002</v>
      </c>
      <c r="I35" s="15">
        <v>734.61142500000005</v>
      </c>
      <c r="J35" s="15">
        <v>154.002805</v>
      </c>
      <c r="K35" s="15">
        <v>47.402878999999999</v>
      </c>
      <c r="L35" s="15">
        <v>107.177536</v>
      </c>
      <c r="M35" s="17">
        <f>+L35-N35</f>
        <v>0</v>
      </c>
      <c r="N35" s="15">
        <v>107.177536</v>
      </c>
      <c r="O35" s="18">
        <v>0</v>
      </c>
      <c r="P35" s="18">
        <v>0</v>
      </c>
      <c r="Q35" s="19">
        <f>SUM(O35:P35)</f>
        <v>0</v>
      </c>
      <c r="R35" s="18"/>
      <c r="S35" s="20"/>
    </row>
    <row r="36" spans="1:19" ht="15.75" x14ac:dyDescent="0.25">
      <c r="A36" s="12">
        <v>1</v>
      </c>
      <c r="B36" s="12">
        <v>786</v>
      </c>
      <c r="C36" s="13" t="s">
        <v>76</v>
      </c>
      <c r="D36" s="14">
        <v>45473</v>
      </c>
      <c r="E36" s="15">
        <v>149.73750000000001</v>
      </c>
      <c r="F36" s="16">
        <v>10</v>
      </c>
      <c r="G36" s="17">
        <f t="shared" ref="G36:G65" si="12">+E36/F36</f>
        <v>14.973750000000001</v>
      </c>
      <c r="H36" s="15">
        <v>236.341566</v>
      </c>
      <c r="I36" s="15">
        <v>260.51534299999997</v>
      </c>
      <c r="J36" s="15">
        <v>46.699435999999999</v>
      </c>
      <c r="K36" s="15">
        <v>3.8625060000000002</v>
      </c>
      <c r="L36" s="15">
        <v>9.9113389999999999</v>
      </c>
      <c r="M36" s="17">
        <f t="shared" ref="M36:M65" si="13">+L36-N36</f>
        <v>4.252491</v>
      </c>
      <c r="N36" s="15">
        <v>5.6588479999999999</v>
      </c>
      <c r="O36" s="18">
        <v>0</v>
      </c>
      <c r="P36" s="18">
        <v>0</v>
      </c>
      <c r="Q36" s="19">
        <f t="shared" ref="Q36:Q65" si="14">SUM(O36:P36)</f>
        <v>0</v>
      </c>
      <c r="R36" s="18"/>
      <c r="S36" s="20">
        <v>876</v>
      </c>
    </row>
    <row r="37" spans="1:19" ht="15.75" x14ac:dyDescent="0.25">
      <c r="A37" s="12">
        <f>+A36+1</f>
        <v>2</v>
      </c>
      <c r="B37" s="12" t="s">
        <v>77</v>
      </c>
      <c r="C37" s="13" t="s">
        <v>78</v>
      </c>
      <c r="D37" s="14">
        <v>45473</v>
      </c>
      <c r="E37" s="15">
        <v>653.4</v>
      </c>
      <c r="F37" s="16">
        <v>10</v>
      </c>
      <c r="G37" s="17">
        <f t="shared" si="12"/>
        <v>65.34</v>
      </c>
      <c r="H37" s="15">
        <v>1273.18174</v>
      </c>
      <c r="I37" s="15">
        <v>5679.8974589999998</v>
      </c>
      <c r="J37" s="15">
        <v>1494.8662380000001</v>
      </c>
      <c r="K37" s="15">
        <v>97.980035999999998</v>
      </c>
      <c r="L37" s="15">
        <v>762.32174199999997</v>
      </c>
      <c r="M37" s="17">
        <f t="shared" si="13"/>
        <v>150.37500199999999</v>
      </c>
      <c r="N37" s="15">
        <v>611.94673999999998</v>
      </c>
      <c r="O37" s="18">
        <v>50</v>
      </c>
      <c r="P37" s="18">
        <v>0</v>
      </c>
      <c r="Q37" s="19">
        <f t="shared" si="14"/>
        <v>50</v>
      </c>
      <c r="R37" s="18"/>
      <c r="S37" s="20">
        <v>3065</v>
      </c>
    </row>
    <row r="38" spans="1:19" ht="15.75" x14ac:dyDescent="0.25">
      <c r="A38" s="12">
        <f>+A37+1</f>
        <v>3</v>
      </c>
      <c r="B38" s="12" t="s">
        <v>79</v>
      </c>
      <c r="C38" s="13" t="s">
        <v>80</v>
      </c>
      <c r="D38" s="14">
        <v>45657</v>
      </c>
      <c r="E38" s="15">
        <v>5578.3417099999997</v>
      </c>
      <c r="F38" s="16">
        <v>10</v>
      </c>
      <c r="G38" s="17">
        <f t="shared" si="12"/>
        <v>557.83417099999997</v>
      </c>
      <c r="H38" s="15">
        <v>9405.3198319999992</v>
      </c>
      <c r="I38" s="15">
        <v>14211.7107</v>
      </c>
      <c r="J38" s="15">
        <v>2632.6939000000002</v>
      </c>
      <c r="K38" s="15">
        <v>146.240824</v>
      </c>
      <c r="L38" s="15">
        <v>1660.946017</v>
      </c>
      <c r="M38" s="17">
        <f t="shared" si="13"/>
        <v>401.5504719999999</v>
      </c>
      <c r="N38" s="15">
        <v>1259.3955450000001</v>
      </c>
      <c r="O38" s="18">
        <v>20</v>
      </c>
      <c r="P38" s="18">
        <v>0</v>
      </c>
      <c r="Q38" s="19">
        <f t="shared" si="14"/>
        <v>20</v>
      </c>
      <c r="R38" s="18"/>
      <c r="S38" s="20">
        <v>4092</v>
      </c>
    </row>
    <row r="39" spans="1:19" ht="15.75" x14ac:dyDescent="0.25">
      <c r="A39" s="12">
        <f t="shared" ref="A39:A65" si="15">+A38+1</f>
        <v>4</v>
      </c>
      <c r="B39" s="12" t="s">
        <v>81</v>
      </c>
      <c r="C39" s="13" t="s">
        <v>82</v>
      </c>
      <c r="D39" s="14">
        <v>45657</v>
      </c>
      <c r="E39" s="15"/>
      <c r="F39" s="16">
        <v>10</v>
      </c>
      <c r="G39" s="17">
        <f>+E39/F39</f>
        <v>0</v>
      </c>
      <c r="H39" s="15"/>
      <c r="I39" s="15"/>
      <c r="J39" s="15"/>
      <c r="K39" s="15"/>
      <c r="L39" s="15"/>
      <c r="M39" s="17">
        <f>+L39-N39</f>
        <v>0</v>
      </c>
      <c r="N39" s="15"/>
      <c r="O39" s="18"/>
      <c r="P39" s="18"/>
      <c r="Q39" s="19">
        <f>SUM(O39:P39)</f>
        <v>0</v>
      </c>
      <c r="R39" s="18"/>
      <c r="S39" s="20"/>
    </row>
    <row r="40" spans="1:19" ht="15.75" x14ac:dyDescent="0.25">
      <c r="A40" s="12">
        <f t="shared" si="15"/>
        <v>5</v>
      </c>
      <c r="B40" s="12" t="s">
        <v>83</v>
      </c>
      <c r="C40" s="13" t="s">
        <v>84</v>
      </c>
      <c r="D40" s="14">
        <v>45657</v>
      </c>
      <c r="E40" s="15">
        <v>615.58963000000006</v>
      </c>
      <c r="F40" s="16">
        <v>10</v>
      </c>
      <c r="G40" s="17">
        <f t="shared" si="12"/>
        <v>61.558963000000006</v>
      </c>
      <c r="H40" s="15"/>
      <c r="I40" s="15"/>
      <c r="J40" s="15"/>
      <c r="K40" s="15"/>
      <c r="L40" s="15"/>
      <c r="M40" s="17">
        <f t="shared" si="13"/>
        <v>0</v>
      </c>
      <c r="N40" s="15"/>
      <c r="O40" s="18">
        <f>40</f>
        <v>40</v>
      </c>
      <c r="P40" s="18"/>
      <c r="Q40" s="19">
        <f t="shared" si="14"/>
        <v>40</v>
      </c>
      <c r="R40" s="18"/>
      <c r="S40" s="20"/>
    </row>
    <row r="41" spans="1:19" ht="16.5" customHeight="1" x14ac:dyDescent="0.25">
      <c r="A41" s="12">
        <f t="shared" si="15"/>
        <v>6</v>
      </c>
      <c r="B41" s="12" t="s">
        <v>5</v>
      </c>
      <c r="C41" s="13" t="s">
        <v>85</v>
      </c>
      <c r="D41" s="14">
        <v>45473</v>
      </c>
      <c r="E41" s="15">
        <v>107.44413</v>
      </c>
      <c r="F41" s="16">
        <v>10</v>
      </c>
      <c r="G41" s="17">
        <f>+E41/F41</f>
        <v>10.744413</v>
      </c>
      <c r="H41" s="15">
        <v>288.25823400000002</v>
      </c>
      <c r="I41" s="15">
        <v>311.25907699999999</v>
      </c>
      <c r="J41" s="15">
        <v>42.039363000000002</v>
      </c>
      <c r="K41" s="15">
        <v>2.15E-3</v>
      </c>
      <c r="L41" s="15">
        <v>27.330815000000001</v>
      </c>
      <c r="M41" s="17">
        <f>+L41-N41</f>
        <v>0</v>
      </c>
      <c r="N41" s="15">
        <v>27.330815000000001</v>
      </c>
      <c r="O41" s="18">
        <v>0</v>
      </c>
      <c r="P41" s="18">
        <v>0</v>
      </c>
      <c r="Q41" s="19">
        <f>SUM(O41:P41)</f>
        <v>0</v>
      </c>
      <c r="R41" s="18"/>
      <c r="S41" s="20">
        <v>781</v>
      </c>
    </row>
    <row r="42" spans="1:19" ht="15.75" x14ac:dyDescent="0.25">
      <c r="A42" s="12">
        <f t="shared" si="15"/>
        <v>7</v>
      </c>
      <c r="B42" s="12" t="s">
        <v>86</v>
      </c>
      <c r="C42" s="13" t="s">
        <v>87</v>
      </c>
      <c r="D42" s="14">
        <v>45473</v>
      </c>
      <c r="E42" s="15">
        <v>275</v>
      </c>
      <c r="F42" s="16">
        <v>10</v>
      </c>
      <c r="G42" s="17">
        <f t="shared" si="12"/>
        <v>27.5</v>
      </c>
      <c r="H42" s="15">
        <v>291.17537600000003</v>
      </c>
      <c r="I42" s="15">
        <v>475.56802099999999</v>
      </c>
      <c r="J42" s="15">
        <v>108.428213</v>
      </c>
      <c r="K42" s="15">
        <v>12.306844</v>
      </c>
      <c r="L42" s="15">
        <v>43.561591</v>
      </c>
      <c r="M42" s="17">
        <f t="shared" si="13"/>
        <v>12.93619</v>
      </c>
      <c r="N42" s="15">
        <v>30.625401</v>
      </c>
      <c r="O42" s="18">
        <v>0</v>
      </c>
      <c r="P42" s="18">
        <v>0</v>
      </c>
      <c r="Q42" s="19">
        <f t="shared" si="14"/>
        <v>0</v>
      </c>
      <c r="R42" s="18"/>
      <c r="S42" s="20">
        <v>2698</v>
      </c>
    </row>
    <row r="43" spans="1:19" ht="15.75" x14ac:dyDescent="0.25">
      <c r="A43" s="12">
        <f t="shared" si="15"/>
        <v>8</v>
      </c>
      <c r="B43" s="22" t="s">
        <v>88</v>
      </c>
      <c r="C43" s="13" t="s">
        <v>89</v>
      </c>
      <c r="D43" s="14">
        <v>45657</v>
      </c>
      <c r="E43" s="15">
        <v>4812.8711599999997</v>
      </c>
      <c r="F43" s="16">
        <v>10</v>
      </c>
      <c r="G43" s="17">
        <f>+E43/F43</f>
        <v>481.28711599999997</v>
      </c>
      <c r="H43" s="15"/>
      <c r="I43" s="15"/>
      <c r="J43" s="15"/>
      <c r="K43" s="15"/>
      <c r="L43" s="15"/>
      <c r="M43" s="17">
        <f>+L43-N43</f>
        <v>0</v>
      </c>
      <c r="N43" s="15"/>
      <c r="O43" s="18">
        <f>50+30+25</f>
        <v>105</v>
      </c>
      <c r="P43" s="18"/>
      <c r="Q43" s="19">
        <f>SUM(O43:P43)</f>
        <v>105</v>
      </c>
      <c r="R43" s="18"/>
      <c r="S43" s="20"/>
    </row>
    <row r="44" spans="1:19" ht="15.75" x14ac:dyDescent="0.25">
      <c r="A44" s="12">
        <f t="shared" si="15"/>
        <v>9</v>
      </c>
      <c r="B44" s="22" t="s">
        <v>90</v>
      </c>
      <c r="C44" s="13" t="s">
        <v>91</v>
      </c>
      <c r="D44" s="14">
        <v>45657</v>
      </c>
      <c r="E44" s="15">
        <v>592.99809000000005</v>
      </c>
      <c r="F44" s="16">
        <v>10</v>
      </c>
      <c r="G44" s="17">
        <f>+E44/F44</f>
        <v>59.299809000000003</v>
      </c>
      <c r="H44" s="15"/>
      <c r="I44" s="15"/>
      <c r="J44" s="15"/>
      <c r="K44" s="15"/>
      <c r="L44" s="15"/>
      <c r="M44" s="17">
        <f>+L44-N44</f>
        <v>0</v>
      </c>
      <c r="N44" s="15"/>
      <c r="O44" s="18">
        <f>30</f>
        <v>30</v>
      </c>
      <c r="P44" s="18"/>
      <c r="Q44" s="19">
        <f>SUM(O44:P44)</f>
        <v>30</v>
      </c>
      <c r="R44" s="18"/>
      <c r="S44" s="20"/>
    </row>
    <row r="45" spans="1:19" ht="15.75" x14ac:dyDescent="0.25">
      <c r="A45" s="12">
        <f t="shared" si="15"/>
        <v>10</v>
      </c>
      <c r="B45" s="12" t="s">
        <v>92</v>
      </c>
      <c r="C45" s="13" t="s">
        <v>93</v>
      </c>
      <c r="D45" s="14">
        <v>45657</v>
      </c>
      <c r="E45" s="15"/>
      <c r="F45" s="16">
        <v>10</v>
      </c>
      <c r="G45" s="17">
        <f t="shared" si="12"/>
        <v>0</v>
      </c>
      <c r="H45" s="15"/>
      <c r="I45" s="15"/>
      <c r="J45" s="15"/>
      <c r="K45" s="15"/>
      <c r="L45" s="15"/>
      <c r="M45" s="17">
        <f t="shared" si="13"/>
        <v>0</v>
      </c>
      <c r="N45" s="15"/>
      <c r="O45" s="18"/>
      <c r="P45" s="18"/>
      <c r="Q45" s="19">
        <f t="shared" si="14"/>
        <v>0</v>
      </c>
      <c r="R45" s="18"/>
      <c r="S45" s="20"/>
    </row>
    <row r="46" spans="1:19" ht="15.75" x14ac:dyDescent="0.25">
      <c r="A46" s="12">
        <f t="shared" si="15"/>
        <v>11</v>
      </c>
      <c r="B46" s="12" t="s">
        <v>94</v>
      </c>
      <c r="C46" s="13" t="s">
        <v>95</v>
      </c>
      <c r="D46" s="14">
        <v>45473</v>
      </c>
      <c r="E46" s="15">
        <v>1356</v>
      </c>
      <c r="F46" s="16">
        <v>10</v>
      </c>
      <c r="G46" s="17">
        <f t="shared" si="12"/>
        <v>135.6</v>
      </c>
      <c r="H46" s="15">
        <v>570.98761400000001</v>
      </c>
      <c r="I46" s="15">
        <v>726.05625799999996</v>
      </c>
      <c r="J46" s="15">
        <v>136.49267599999999</v>
      </c>
      <c r="K46" s="15">
        <v>6.551876</v>
      </c>
      <c r="L46" s="15">
        <v>-25.706002000000002</v>
      </c>
      <c r="M46" s="17">
        <f t="shared" si="13"/>
        <v>-2.6080940000000012</v>
      </c>
      <c r="N46" s="15">
        <v>-23.097908</v>
      </c>
      <c r="O46" s="18">
        <v>0</v>
      </c>
      <c r="P46" s="18">
        <v>0</v>
      </c>
      <c r="Q46" s="19">
        <f t="shared" si="14"/>
        <v>0</v>
      </c>
      <c r="R46" s="18"/>
      <c r="S46" s="20">
        <v>936</v>
      </c>
    </row>
    <row r="47" spans="1:19" ht="15.75" x14ac:dyDescent="0.25">
      <c r="A47" s="12">
        <f t="shared" si="15"/>
        <v>12</v>
      </c>
      <c r="B47" s="12" t="s">
        <v>96</v>
      </c>
      <c r="C47" s="13" t="s">
        <v>97</v>
      </c>
      <c r="D47" s="14">
        <v>45473</v>
      </c>
      <c r="E47" s="15">
        <v>650</v>
      </c>
      <c r="F47" s="16">
        <v>10</v>
      </c>
      <c r="G47" s="17">
        <f t="shared" si="12"/>
        <v>65</v>
      </c>
      <c r="H47" s="15">
        <v>786.86732199999994</v>
      </c>
      <c r="I47" s="15">
        <v>3955.9378360000001</v>
      </c>
      <c r="J47" s="15">
        <v>448.89039300000002</v>
      </c>
      <c r="K47" s="15">
        <v>329.84600599999999</v>
      </c>
      <c r="L47" s="15">
        <v>41.730052000000001</v>
      </c>
      <c r="M47" s="17">
        <f t="shared" si="13"/>
        <v>10.033764000000001</v>
      </c>
      <c r="N47" s="15">
        <v>31.696287999999999</v>
      </c>
      <c r="O47" s="18">
        <v>0</v>
      </c>
      <c r="P47" s="18">
        <v>0</v>
      </c>
      <c r="Q47" s="19">
        <f t="shared" si="14"/>
        <v>0</v>
      </c>
      <c r="R47" s="18"/>
      <c r="S47" s="20">
        <v>1030</v>
      </c>
    </row>
    <row r="48" spans="1:19" ht="15.75" x14ac:dyDescent="0.25">
      <c r="A48" s="12">
        <f t="shared" si="15"/>
        <v>13</v>
      </c>
      <c r="B48" s="12" t="s">
        <v>98</v>
      </c>
      <c r="C48" s="13" t="s">
        <v>99</v>
      </c>
      <c r="D48" s="14">
        <v>45473</v>
      </c>
      <c r="E48" s="15">
        <v>3166.10115</v>
      </c>
      <c r="F48" s="16">
        <v>10</v>
      </c>
      <c r="G48" s="17">
        <f t="shared" si="12"/>
        <v>316.61011500000001</v>
      </c>
      <c r="H48" s="15">
        <v>1813.139987</v>
      </c>
      <c r="I48" s="15">
        <f>5051.224579+107.797496</f>
        <v>5159.0220749999999</v>
      </c>
      <c r="J48" s="15">
        <v>294.81398300000001</v>
      </c>
      <c r="K48" s="15">
        <v>440.42419899999999</v>
      </c>
      <c r="L48" s="15">
        <v>-160.972306</v>
      </c>
      <c r="M48" s="17">
        <f t="shared" si="13"/>
        <v>-1.6665059999999983</v>
      </c>
      <c r="N48" s="15">
        <v>-159.3058</v>
      </c>
      <c r="O48" s="18">
        <v>0</v>
      </c>
      <c r="P48" s="18">
        <v>0</v>
      </c>
      <c r="Q48" s="19">
        <f t="shared" si="14"/>
        <v>0</v>
      </c>
      <c r="R48" s="18"/>
      <c r="S48" s="20">
        <v>3919</v>
      </c>
    </row>
    <row r="49" spans="1:19" ht="15.75" x14ac:dyDescent="0.25">
      <c r="A49" s="12">
        <f t="shared" si="15"/>
        <v>14</v>
      </c>
      <c r="B49" s="12" t="s">
        <v>100</v>
      </c>
      <c r="C49" s="13" t="s">
        <v>101</v>
      </c>
      <c r="D49" s="14">
        <v>45473</v>
      </c>
      <c r="E49" s="15">
        <v>1483.90023</v>
      </c>
      <c r="F49" s="16">
        <v>10</v>
      </c>
      <c r="G49" s="17">
        <f t="shared" si="12"/>
        <v>148.39002299999999</v>
      </c>
      <c r="H49" s="15">
        <v>656.47372800000005</v>
      </c>
      <c r="I49" s="15">
        <v>970.91452200000003</v>
      </c>
      <c r="J49" s="15">
        <v>68.343408999999994</v>
      </c>
      <c r="K49" s="15">
        <v>7.7790000000000003E-3</v>
      </c>
      <c r="L49" s="15">
        <v>83.952698999999996</v>
      </c>
      <c r="M49" s="17">
        <f t="shared" si="13"/>
        <v>77.251628999999994</v>
      </c>
      <c r="N49" s="15">
        <v>6.7010699999999996</v>
      </c>
      <c r="O49" s="18">
        <v>0</v>
      </c>
      <c r="P49" s="18">
        <v>0</v>
      </c>
      <c r="Q49" s="19">
        <f t="shared" si="14"/>
        <v>0</v>
      </c>
      <c r="R49" s="18"/>
      <c r="S49" s="20">
        <v>3573</v>
      </c>
    </row>
    <row r="50" spans="1:19" ht="15.75" x14ac:dyDescent="0.25">
      <c r="A50" s="12">
        <f t="shared" si="15"/>
        <v>15</v>
      </c>
      <c r="B50" s="12" t="s">
        <v>102</v>
      </c>
      <c r="C50" s="13" t="s">
        <v>103</v>
      </c>
      <c r="D50" s="14">
        <v>45473</v>
      </c>
      <c r="E50" s="15">
        <v>2672.8633100000002</v>
      </c>
      <c r="F50" s="16">
        <v>10</v>
      </c>
      <c r="G50" s="17">
        <f t="shared" si="12"/>
        <v>267.28633100000002</v>
      </c>
      <c r="H50" s="15">
        <v>1145.65833</v>
      </c>
      <c r="I50" s="15">
        <v>1854.0675309999999</v>
      </c>
      <c r="J50" s="15">
        <v>23.479296000000001</v>
      </c>
      <c r="K50" s="15">
        <v>24.061319999999998</v>
      </c>
      <c r="L50" s="15">
        <v>-51.195042000000001</v>
      </c>
      <c r="M50" s="17">
        <f t="shared" si="13"/>
        <v>0.27761900000000139</v>
      </c>
      <c r="N50" s="15">
        <v>-51.472661000000002</v>
      </c>
      <c r="O50" s="18">
        <v>0</v>
      </c>
      <c r="P50" s="18">
        <v>0</v>
      </c>
      <c r="Q50" s="19">
        <f t="shared" si="14"/>
        <v>0</v>
      </c>
      <c r="R50" s="18"/>
      <c r="S50" s="20">
        <v>3211</v>
      </c>
    </row>
    <row r="51" spans="1:19" ht="15.75" x14ac:dyDescent="0.25">
      <c r="A51" s="12">
        <f t="shared" si="15"/>
        <v>16</v>
      </c>
      <c r="B51" s="12" t="s">
        <v>104</v>
      </c>
      <c r="C51" s="13" t="s">
        <v>105</v>
      </c>
      <c r="D51" s="14">
        <v>45565</v>
      </c>
      <c r="E51" s="15"/>
      <c r="F51" s="16">
        <v>10</v>
      </c>
      <c r="G51" s="17">
        <f>+E51/F51</f>
        <v>0</v>
      </c>
      <c r="H51" s="15"/>
      <c r="I51" s="15"/>
      <c r="J51" s="15"/>
      <c r="K51" s="15"/>
      <c r="L51" s="15"/>
      <c r="M51" s="17">
        <f>+L51-N51</f>
        <v>0</v>
      </c>
      <c r="N51" s="15"/>
      <c r="O51" s="18"/>
      <c r="P51" s="18"/>
      <c r="Q51" s="19">
        <f>SUM(O51:P51)</f>
        <v>0</v>
      </c>
      <c r="R51" s="18"/>
      <c r="S51" s="20"/>
    </row>
    <row r="52" spans="1:19" ht="15.75" x14ac:dyDescent="0.25">
      <c r="A52" s="12">
        <f t="shared" si="15"/>
        <v>17</v>
      </c>
      <c r="B52" s="12" t="s">
        <v>106</v>
      </c>
      <c r="C52" s="13" t="s">
        <v>107</v>
      </c>
      <c r="D52" s="14">
        <v>45473</v>
      </c>
      <c r="E52" s="15">
        <v>2848.66896</v>
      </c>
      <c r="F52" s="16">
        <v>10</v>
      </c>
      <c r="G52" s="17">
        <f t="shared" si="12"/>
        <v>284.866896</v>
      </c>
      <c r="H52" s="15">
        <v>700.499595</v>
      </c>
      <c r="I52" s="15">
        <v>1298.5941620000001</v>
      </c>
      <c r="J52" s="15">
        <v>150.415077</v>
      </c>
      <c r="K52" s="15">
        <v>3.437E-3</v>
      </c>
      <c r="L52" s="15">
        <v>145.97781699999999</v>
      </c>
      <c r="M52" s="17">
        <f t="shared" si="13"/>
        <v>21.35834899999999</v>
      </c>
      <c r="N52" s="15">
        <v>124.619468</v>
      </c>
      <c r="O52" s="18">
        <v>0</v>
      </c>
      <c r="P52" s="18">
        <v>0</v>
      </c>
      <c r="Q52" s="19">
        <f t="shared" si="14"/>
        <v>0</v>
      </c>
      <c r="R52" s="18"/>
      <c r="S52" s="20">
        <v>9562</v>
      </c>
    </row>
    <row r="53" spans="1:19" ht="15.75" x14ac:dyDescent="0.25">
      <c r="A53" s="12">
        <f t="shared" si="15"/>
        <v>18</v>
      </c>
      <c r="B53" s="12" t="s">
        <v>108</v>
      </c>
      <c r="C53" s="13" t="s">
        <v>109</v>
      </c>
      <c r="D53" s="14">
        <v>45657</v>
      </c>
      <c r="E53" s="15"/>
      <c r="F53" s="16">
        <v>10</v>
      </c>
      <c r="G53" s="17">
        <f t="shared" si="12"/>
        <v>0</v>
      </c>
      <c r="H53" s="15"/>
      <c r="I53" s="15"/>
      <c r="J53" s="15"/>
      <c r="K53" s="15"/>
      <c r="L53" s="15"/>
      <c r="M53" s="17">
        <f t="shared" si="13"/>
        <v>0</v>
      </c>
      <c r="N53" s="15"/>
      <c r="O53" s="18"/>
      <c r="P53" s="18"/>
      <c r="Q53" s="19">
        <f t="shared" si="14"/>
        <v>0</v>
      </c>
      <c r="R53" s="18"/>
      <c r="S53" s="20"/>
    </row>
    <row r="54" spans="1:19" ht="15.75" x14ac:dyDescent="0.25">
      <c r="A54" s="12">
        <f t="shared" si="15"/>
        <v>19</v>
      </c>
      <c r="B54" s="12" t="s">
        <v>110</v>
      </c>
      <c r="C54" s="13" t="s">
        <v>111</v>
      </c>
      <c r="D54" s="14">
        <v>45657</v>
      </c>
      <c r="E54" s="15"/>
      <c r="F54" s="16">
        <v>10</v>
      </c>
      <c r="G54" s="17">
        <f t="shared" si="12"/>
        <v>0</v>
      </c>
      <c r="H54" s="15"/>
      <c r="I54" s="15"/>
      <c r="J54" s="15"/>
      <c r="K54" s="15"/>
      <c r="L54" s="15"/>
      <c r="M54" s="17">
        <f t="shared" si="13"/>
        <v>0</v>
      </c>
      <c r="N54" s="15"/>
      <c r="O54" s="18"/>
      <c r="P54" s="18"/>
      <c r="Q54" s="19">
        <f t="shared" si="14"/>
        <v>0</v>
      </c>
      <c r="R54" s="18"/>
      <c r="S54" s="20"/>
    </row>
    <row r="55" spans="1:19" ht="15.75" x14ac:dyDescent="0.25">
      <c r="A55" s="12">
        <f t="shared" si="15"/>
        <v>20</v>
      </c>
      <c r="B55" s="12" t="s">
        <v>112</v>
      </c>
      <c r="C55" s="13" t="s">
        <v>113</v>
      </c>
      <c r="D55" s="14">
        <v>45657</v>
      </c>
      <c r="E55" s="15"/>
      <c r="F55" s="16">
        <v>10</v>
      </c>
      <c r="G55" s="17">
        <f t="shared" si="12"/>
        <v>0</v>
      </c>
      <c r="H55" s="15"/>
      <c r="I55" s="15"/>
      <c r="J55" s="15"/>
      <c r="K55" s="15"/>
      <c r="L55" s="15"/>
      <c r="M55" s="17">
        <f t="shared" si="13"/>
        <v>0</v>
      </c>
      <c r="N55" s="15"/>
      <c r="O55" s="18"/>
      <c r="P55" s="18"/>
      <c r="Q55" s="19">
        <f t="shared" si="14"/>
        <v>0</v>
      </c>
      <c r="R55" s="18"/>
      <c r="S55" s="20"/>
    </row>
    <row r="56" spans="1:19" ht="15.75" x14ac:dyDescent="0.25">
      <c r="A56" s="12">
        <f t="shared" si="15"/>
        <v>21</v>
      </c>
      <c r="B56" s="12" t="s">
        <v>114</v>
      </c>
      <c r="C56" s="13" t="s">
        <v>115</v>
      </c>
      <c r="D56" s="14">
        <v>45473</v>
      </c>
      <c r="E56" s="15">
        <v>1811.5334499999999</v>
      </c>
      <c r="F56" s="16">
        <v>10</v>
      </c>
      <c r="G56" s="17">
        <f t="shared" si="12"/>
        <v>181.153345</v>
      </c>
      <c r="H56" s="15"/>
      <c r="I56" s="15"/>
      <c r="J56" s="15"/>
      <c r="K56" s="15"/>
      <c r="L56" s="15">
        <v>68.86</v>
      </c>
      <c r="M56" s="17">
        <f t="shared" si="13"/>
        <v>-52.144999999999996</v>
      </c>
      <c r="N56" s="15">
        <v>121.005</v>
      </c>
      <c r="O56" s="18">
        <v>5</v>
      </c>
      <c r="P56" s="18">
        <v>0</v>
      </c>
      <c r="Q56" s="19">
        <f t="shared" si="14"/>
        <v>5</v>
      </c>
      <c r="R56" s="18"/>
      <c r="S56" s="20"/>
    </row>
    <row r="57" spans="1:19" ht="15.75" x14ac:dyDescent="0.25">
      <c r="A57" s="12">
        <f t="shared" si="15"/>
        <v>22</v>
      </c>
      <c r="B57" s="12" t="s">
        <v>116</v>
      </c>
      <c r="C57" s="13" t="s">
        <v>117</v>
      </c>
      <c r="D57" s="14">
        <v>45473</v>
      </c>
      <c r="E57" s="15">
        <v>356.77578</v>
      </c>
      <c r="F57" s="16">
        <v>10</v>
      </c>
      <c r="G57" s="17">
        <f t="shared" si="12"/>
        <v>35.677577999999997</v>
      </c>
      <c r="H57" s="15"/>
      <c r="I57" s="15"/>
      <c r="J57" s="15"/>
      <c r="K57" s="15"/>
      <c r="L57" s="15">
        <v>75.769000000000005</v>
      </c>
      <c r="M57" s="17">
        <f t="shared" si="13"/>
        <v>14.501000000000005</v>
      </c>
      <c r="N57" s="15">
        <v>61.268000000000001</v>
      </c>
      <c r="O57" s="18">
        <v>5</v>
      </c>
      <c r="P57" s="18">
        <v>0</v>
      </c>
      <c r="Q57" s="19">
        <f t="shared" ref="Q57" si="16">SUM(O57:P57)</f>
        <v>5</v>
      </c>
      <c r="R57" s="18"/>
      <c r="S57" s="20"/>
    </row>
    <row r="58" spans="1:19" ht="15.75" x14ac:dyDescent="0.25">
      <c r="A58" s="12">
        <f t="shared" si="15"/>
        <v>23</v>
      </c>
      <c r="B58" s="12" t="s">
        <v>118</v>
      </c>
      <c r="C58" s="13" t="s">
        <v>119</v>
      </c>
      <c r="D58" s="14">
        <v>45473</v>
      </c>
      <c r="E58" s="15">
        <v>1795.9788000000001</v>
      </c>
      <c r="F58" s="16">
        <v>10</v>
      </c>
      <c r="G58" s="17">
        <f t="shared" si="12"/>
        <v>179.59788</v>
      </c>
      <c r="H58" s="15"/>
      <c r="I58" s="15"/>
      <c r="J58" s="15"/>
      <c r="K58" s="15"/>
      <c r="L58" s="15">
        <v>273.98099999999999</v>
      </c>
      <c r="M58" s="17">
        <f t="shared" si="13"/>
        <v>86.875</v>
      </c>
      <c r="N58" s="15">
        <v>187.10599999999999</v>
      </c>
      <c r="O58" s="18">
        <v>10</v>
      </c>
      <c r="P58" s="18">
        <v>0</v>
      </c>
      <c r="Q58" s="19">
        <f t="shared" ref="Q58" si="17">SUM(O58:P58)</f>
        <v>10</v>
      </c>
      <c r="R58" s="18"/>
      <c r="S58" s="20"/>
    </row>
    <row r="59" spans="1:19" ht="15.75" x14ac:dyDescent="0.25">
      <c r="A59" s="12">
        <f t="shared" si="15"/>
        <v>24</v>
      </c>
      <c r="B59" s="12" t="s">
        <v>120</v>
      </c>
      <c r="C59" s="13" t="s">
        <v>121</v>
      </c>
      <c r="D59" s="14">
        <v>45473</v>
      </c>
      <c r="E59" s="15">
        <v>720</v>
      </c>
      <c r="F59" s="16">
        <v>10</v>
      </c>
      <c r="G59" s="17">
        <f t="shared" si="12"/>
        <v>72</v>
      </c>
      <c r="H59" s="15">
        <v>1954.011796</v>
      </c>
      <c r="I59" s="15">
        <v>3267.7311199999999</v>
      </c>
      <c r="J59" s="15">
        <v>1841.337888</v>
      </c>
      <c r="K59" s="15">
        <v>18.115316</v>
      </c>
      <c r="L59" s="15">
        <v>1271.494346</v>
      </c>
      <c r="M59" s="17">
        <f t="shared" si="13"/>
        <v>410.19196999999997</v>
      </c>
      <c r="N59" s="15">
        <v>861.30237599999998</v>
      </c>
      <c r="O59" s="18">
        <f>35+25</f>
        <v>60</v>
      </c>
      <c r="P59" s="18">
        <v>0</v>
      </c>
      <c r="Q59" s="19">
        <f t="shared" si="14"/>
        <v>60</v>
      </c>
      <c r="R59" s="18"/>
      <c r="S59" s="20">
        <v>931</v>
      </c>
    </row>
    <row r="60" spans="1:19" ht="15.75" x14ac:dyDescent="0.25">
      <c r="A60" s="12">
        <f t="shared" si="15"/>
        <v>25</v>
      </c>
      <c r="B60" s="12" t="s">
        <v>122</v>
      </c>
      <c r="C60" s="13" t="s">
        <v>123</v>
      </c>
      <c r="D60" s="14">
        <v>45473</v>
      </c>
      <c r="E60" s="15">
        <v>569.25</v>
      </c>
      <c r="F60" s="16">
        <v>10</v>
      </c>
      <c r="G60" s="17">
        <f t="shared" si="12"/>
        <v>56.924999999999997</v>
      </c>
      <c r="H60" s="15">
        <v>406.31999000000002</v>
      </c>
      <c r="I60" s="15">
        <v>865.92275299999994</v>
      </c>
      <c r="J60" s="15">
        <f>166.552642+47.35737</f>
        <v>213.91001199999999</v>
      </c>
      <c r="K60" s="15">
        <v>36.263241000000001</v>
      </c>
      <c r="L60" s="15">
        <v>-21.877367</v>
      </c>
      <c r="M60" s="17">
        <f t="shared" si="13"/>
        <v>-0.15073500000000095</v>
      </c>
      <c r="N60" s="15">
        <v>-21.726631999999999</v>
      </c>
      <c r="O60" s="18">
        <v>0</v>
      </c>
      <c r="P60" s="18">
        <v>0</v>
      </c>
      <c r="Q60" s="19">
        <f t="shared" si="14"/>
        <v>0</v>
      </c>
      <c r="R60" s="18"/>
      <c r="S60" s="20">
        <v>793</v>
      </c>
    </row>
    <row r="61" spans="1:19" ht="15.75" x14ac:dyDescent="0.25">
      <c r="A61" s="12">
        <f t="shared" si="15"/>
        <v>26</v>
      </c>
      <c r="B61" s="12" t="s">
        <v>124</v>
      </c>
      <c r="C61" s="13" t="s">
        <v>125</v>
      </c>
      <c r="D61" s="14">
        <v>45473</v>
      </c>
      <c r="E61" s="15">
        <v>1754.07647</v>
      </c>
      <c r="F61" s="16">
        <v>10</v>
      </c>
      <c r="G61" s="17">
        <f>+E61/F61</f>
        <v>175.407647</v>
      </c>
      <c r="H61" s="15">
        <v>10470.536842</v>
      </c>
      <c r="I61" s="15">
        <v>31953.884787999999</v>
      </c>
      <c r="J61" s="15">
        <v>6884.7594079999999</v>
      </c>
      <c r="K61" s="15">
        <v>3876.1031090000001</v>
      </c>
      <c r="L61" s="15">
        <v>2290.853975</v>
      </c>
      <c r="M61" s="17">
        <f>+L61-N61</f>
        <v>897.94325299999991</v>
      </c>
      <c r="N61" s="15">
        <v>1392.9107220000001</v>
      </c>
      <c r="O61" s="18">
        <f>20+30</f>
        <v>50</v>
      </c>
      <c r="P61" s="18">
        <v>0</v>
      </c>
      <c r="Q61" s="19">
        <f>SUM(O61:P61)</f>
        <v>50</v>
      </c>
      <c r="R61" s="18"/>
      <c r="S61" s="20">
        <v>3436</v>
      </c>
    </row>
    <row r="62" spans="1:19" ht="15.75" x14ac:dyDescent="0.25">
      <c r="A62" s="12">
        <f t="shared" si="15"/>
        <v>27</v>
      </c>
      <c r="B62" s="12" t="s">
        <v>126</v>
      </c>
      <c r="C62" s="13" t="s">
        <v>127</v>
      </c>
      <c r="D62" s="14">
        <v>45657</v>
      </c>
      <c r="E62" s="15"/>
      <c r="F62" s="16">
        <v>10</v>
      </c>
      <c r="G62" s="17">
        <f t="shared" ref="G62" si="18">+E62/F62</f>
        <v>0</v>
      </c>
      <c r="H62" s="15"/>
      <c r="I62" s="15"/>
      <c r="J62" s="15"/>
      <c r="K62" s="15"/>
      <c r="L62" s="15"/>
      <c r="M62" s="17">
        <f t="shared" ref="M62" si="19">+L62-N62</f>
        <v>0</v>
      </c>
      <c r="N62" s="15"/>
      <c r="O62" s="18"/>
      <c r="P62" s="18"/>
      <c r="Q62" s="19">
        <f t="shared" ref="Q62" si="20">SUM(O62:P62)</f>
        <v>0</v>
      </c>
      <c r="R62" s="18"/>
      <c r="S62" s="20"/>
    </row>
    <row r="63" spans="1:19" ht="15.75" x14ac:dyDescent="0.25">
      <c r="A63" s="12">
        <f t="shared" si="15"/>
        <v>28</v>
      </c>
      <c r="B63" s="12" t="s">
        <v>128</v>
      </c>
      <c r="C63" s="13" t="s">
        <v>129</v>
      </c>
      <c r="D63" s="14">
        <v>45473</v>
      </c>
      <c r="E63" s="15">
        <v>8014.7659999999996</v>
      </c>
      <c r="F63" s="16">
        <v>10</v>
      </c>
      <c r="G63" s="17">
        <f t="shared" si="12"/>
        <v>801.47659999999996</v>
      </c>
      <c r="H63" s="15">
        <v>11439.18</v>
      </c>
      <c r="I63" s="15">
        <v>14189.076999999999</v>
      </c>
      <c r="J63" s="15">
        <v>2116.62</v>
      </c>
      <c r="K63" s="15">
        <v>0</v>
      </c>
      <c r="L63" s="15">
        <v>1046.0809999999999</v>
      </c>
      <c r="M63" s="17">
        <f t="shared" si="13"/>
        <v>18.277999999999793</v>
      </c>
      <c r="N63" s="15">
        <v>1027.8030000000001</v>
      </c>
      <c r="O63" s="18">
        <v>10</v>
      </c>
      <c r="P63" s="18">
        <v>0</v>
      </c>
      <c r="Q63" s="19">
        <f t="shared" si="14"/>
        <v>10</v>
      </c>
      <c r="R63" s="18"/>
      <c r="S63" s="20">
        <v>2786</v>
      </c>
    </row>
    <row r="64" spans="1:19" ht="15.75" x14ac:dyDescent="0.25">
      <c r="A64" s="12">
        <f t="shared" si="15"/>
        <v>29</v>
      </c>
      <c r="B64" s="12" t="s">
        <v>130</v>
      </c>
      <c r="C64" s="13" t="s">
        <v>131</v>
      </c>
      <c r="D64" s="14">
        <v>45657</v>
      </c>
      <c r="E64" s="15"/>
      <c r="F64" s="16">
        <v>10</v>
      </c>
      <c r="G64" s="17">
        <f t="shared" si="12"/>
        <v>0</v>
      </c>
      <c r="H64" s="15"/>
      <c r="I64" s="15"/>
      <c r="J64" s="15"/>
      <c r="K64" s="15"/>
      <c r="L64" s="15"/>
      <c r="M64" s="17">
        <f t="shared" si="13"/>
        <v>0</v>
      </c>
      <c r="N64" s="15"/>
      <c r="O64" s="18"/>
      <c r="P64" s="18"/>
      <c r="Q64" s="19">
        <f t="shared" si="14"/>
        <v>0</v>
      </c>
      <c r="R64" s="18"/>
      <c r="S64" s="20"/>
    </row>
    <row r="65" spans="1:19" ht="15.75" x14ac:dyDescent="0.25">
      <c r="A65" s="12">
        <f t="shared" si="15"/>
        <v>30</v>
      </c>
      <c r="B65" s="12" t="s">
        <v>132</v>
      </c>
      <c r="C65" s="13" t="s">
        <v>133</v>
      </c>
      <c r="D65" s="14">
        <v>45473</v>
      </c>
      <c r="E65" s="15">
        <v>300</v>
      </c>
      <c r="F65" s="16">
        <v>10</v>
      </c>
      <c r="G65" s="17">
        <f t="shared" si="12"/>
        <v>30</v>
      </c>
      <c r="H65" s="15">
        <v>363.17546299999998</v>
      </c>
      <c r="I65" s="15">
        <v>707.26624400000003</v>
      </c>
      <c r="J65" s="15">
        <f>211.999401+96.963841+7.29026</f>
        <v>316.25350200000003</v>
      </c>
      <c r="K65" s="15">
        <v>13.507075</v>
      </c>
      <c r="L65" s="15">
        <v>84.017606999999998</v>
      </c>
      <c r="M65" s="17">
        <f t="shared" si="13"/>
        <v>2.0263999999997395E-2</v>
      </c>
      <c r="N65" s="15">
        <v>83.997343000000001</v>
      </c>
      <c r="O65" s="18">
        <v>0</v>
      </c>
      <c r="P65" s="18">
        <v>0</v>
      </c>
      <c r="Q65" s="19">
        <f t="shared" si="14"/>
        <v>0</v>
      </c>
      <c r="R65" s="18"/>
      <c r="S65" s="20">
        <v>825</v>
      </c>
    </row>
    <row r="66" spans="1:19" ht="15.75" x14ac:dyDescent="0.25">
      <c r="A66" s="12">
        <v>1</v>
      </c>
      <c r="B66" s="12" t="s">
        <v>134</v>
      </c>
      <c r="C66" s="21" t="s">
        <v>135</v>
      </c>
      <c r="D66" s="14">
        <v>45473</v>
      </c>
      <c r="E66" s="15"/>
      <c r="F66" s="16">
        <v>10</v>
      </c>
      <c r="G66" s="17">
        <f t="shared" ref="G66:G70" si="21">+E66/F66</f>
        <v>0</v>
      </c>
      <c r="H66" s="15"/>
      <c r="I66" s="15"/>
      <c r="J66" s="15"/>
      <c r="K66" s="15"/>
      <c r="L66" s="15"/>
      <c r="M66" s="17">
        <f t="shared" ref="M66:M70" si="22">+L66-N66</f>
        <v>0</v>
      </c>
      <c r="N66" s="15"/>
      <c r="O66" s="18"/>
      <c r="P66" s="18"/>
      <c r="Q66" s="19">
        <f t="shared" ref="Q66:Q70" si="23">SUM(O66:P66)</f>
        <v>0</v>
      </c>
      <c r="R66" s="18"/>
      <c r="S66" s="20"/>
    </row>
    <row r="67" spans="1:19" ht="15.75" x14ac:dyDescent="0.25">
      <c r="A67" s="12">
        <f>+A66+1</f>
        <v>2</v>
      </c>
      <c r="B67" s="12" t="s">
        <v>136</v>
      </c>
      <c r="C67" s="13" t="s">
        <v>137</v>
      </c>
      <c r="D67" s="14">
        <v>45473</v>
      </c>
      <c r="E67" s="15">
        <v>1413.355</v>
      </c>
      <c r="F67" s="16">
        <v>10</v>
      </c>
      <c r="G67" s="17">
        <f t="shared" si="21"/>
        <v>141.3355</v>
      </c>
      <c r="H67" s="15">
        <v>352.56584400000003</v>
      </c>
      <c r="I67" s="15">
        <v>1361.8926859999999</v>
      </c>
      <c r="J67" s="15">
        <v>17.246663999999999</v>
      </c>
      <c r="K67" s="15">
        <v>6.5200000000000002E-4</v>
      </c>
      <c r="L67" s="15">
        <f>18.824645-1.025762</f>
        <v>17.798883</v>
      </c>
      <c r="M67" s="17">
        <f t="shared" si="22"/>
        <v>0</v>
      </c>
      <c r="N67" s="15">
        <f>18.824645-1.025762</f>
        <v>17.798883</v>
      </c>
      <c r="O67" s="18">
        <v>0</v>
      </c>
      <c r="P67" s="18">
        <v>0</v>
      </c>
      <c r="Q67" s="19">
        <f t="shared" si="23"/>
        <v>0</v>
      </c>
      <c r="R67" s="18"/>
      <c r="S67" s="20">
        <v>310</v>
      </c>
    </row>
    <row r="68" spans="1:19" ht="15.75" x14ac:dyDescent="0.25">
      <c r="A68" s="12">
        <f>+A67+1</f>
        <v>3</v>
      </c>
      <c r="B68" s="12" t="s">
        <v>138</v>
      </c>
      <c r="C68" s="13" t="s">
        <v>139</v>
      </c>
      <c r="D68" s="14">
        <v>45473</v>
      </c>
      <c r="E68" s="15">
        <v>1865.68487</v>
      </c>
      <c r="F68" s="16">
        <v>10</v>
      </c>
      <c r="G68" s="17">
        <f t="shared" si="21"/>
        <v>186.568487</v>
      </c>
      <c r="H68" s="15">
        <v>-562.27751799999999</v>
      </c>
      <c r="I68" s="15">
        <f>82.275444+3.950545</f>
        <v>86.225988999999998</v>
      </c>
      <c r="J68" s="15">
        <v>0</v>
      </c>
      <c r="K68" s="15">
        <v>0.58462800000000004</v>
      </c>
      <c r="L68" s="15">
        <v>1.158555</v>
      </c>
      <c r="M68" s="17">
        <f t="shared" si="22"/>
        <v>0</v>
      </c>
      <c r="N68" s="15">
        <v>1.158555</v>
      </c>
      <c r="O68" s="18">
        <v>0</v>
      </c>
      <c r="P68" s="18">
        <v>0</v>
      </c>
      <c r="Q68" s="19">
        <f t="shared" si="23"/>
        <v>0</v>
      </c>
      <c r="R68" s="18"/>
      <c r="S68" s="20">
        <v>6416</v>
      </c>
    </row>
    <row r="69" spans="1:19" ht="15.75" x14ac:dyDescent="0.25">
      <c r="A69" s="12">
        <f>+A68+1</f>
        <v>4</v>
      </c>
      <c r="B69" s="12" t="s">
        <v>140</v>
      </c>
      <c r="C69" s="13" t="s">
        <v>141</v>
      </c>
      <c r="D69" s="14">
        <v>45473</v>
      </c>
      <c r="E69" s="15"/>
      <c r="F69" s="16">
        <v>10</v>
      </c>
      <c r="G69" s="17">
        <f t="shared" si="21"/>
        <v>0</v>
      </c>
      <c r="H69" s="15"/>
      <c r="I69" s="15"/>
      <c r="J69" s="15"/>
      <c r="K69" s="15"/>
      <c r="L69" s="15"/>
      <c r="M69" s="17">
        <f t="shared" si="22"/>
        <v>0</v>
      </c>
      <c r="N69" s="15"/>
      <c r="O69" s="18"/>
      <c r="P69" s="18"/>
      <c r="Q69" s="19">
        <f t="shared" si="23"/>
        <v>0</v>
      </c>
      <c r="R69" s="18"/>
      <c r="S69" s="20"/>
    </row>
    <row r="70" spans="1:19" ht="15.75" x14ac:dyDescent="0.25">
      <c r="A70" s="12">
        <f t="shared" ref="A70" si="24">+A69+1</f>
        <v>5</v>
      </c>
      <c r="B70" s="12" t="s">
        <v>142</v>
      </c>
      <c r="C70" s="13" t="s">
        <v>143</v>
      </c>
      <c r="D70" s="14">
        <v>45473</v>
      </c>
      <c r="E70" s="15"/>
      <c r="F70" s="16">
        <v>10</v>
      </c>
      <c r="G70" s="17">
        <f t="shared" si="21"/>
        <v>0</v>
      </c>
      <c r="H70" s="15"/>
      <c r="I70" s="15"/>
      <c r="J70" s="15"/>
      <c r="K70" s="15"/>
      <c r="L70" s="15"/>
      <c r="M70" s="17">
        <f t="shared" si="22"/>
        <v>0</v>
      </c>
      <c r="N70" s="15"/>
      <c r="O70" s="18"/>
      <c r="P70" s="18"/>
      <c r="Q70" s="19">
        <f t="shared" si="23"/>
        <v>0</v>
      </c>
      <c r="R70" s="18"/>
      <c r="S70" s="20"/>
    </row>
    <row r="71" spans="1:19" ht="15.75" x14ac:dyDescent="0.25">
      <c r="A71" s="22">
        <v>1</v>
      </c>
      <c r="B71" s="22" t="s">
        <v>144</v>
      </c>
      <c r="C71" s="13" t="s">
        <v>145</v>
      </c>
      <c r="D71" s="14">
        <v>45657</v>
      </c>
      <c r="E71" s="15">
        <v>11450.738300000001</v>
      </c>
      <c r="F71" s="16">
        <v>10</v>
      </c>
      <c r="G71" s="17">
        <f t="shared" ref="G71:G90" si="25">+E71/F71</f>
        <v>1145.07383</v>
      </c>
      <c r="H71" s="15"/>
      <c r="I71" s="15"/>
      <c r="J71" s="15"/>
      <c r="K71" s="15"/>
      <c r="L71" s="15"/>
      <c r="M71" s="17">
        <f t="shared" ref="M71:M90" si="26">+L71-N71</f>
        <v>0</v>
      </c>
      <c r="N71" s="15"/>
      <c r="O71" s="18">
        <f>40+40+40</f>
        <v>120</v>
      </c>
      <c r="P71" s="18"/>
      <c r="Q71" s="19">
        <f t="shared" ref="Q71:Q90" si="27">SUM(O71:P71)</f>
        <v>120</v>
      </c>
      <c r="R71" s="18"/>
      <c r="S71" s="20"/>
    </row>
    <row r="72" spans="1:19" ht="15.75" x14ac:dyDescent="0.25">
      <c r="A72" s="22">
        <f>+A71+1</f>
        <v>2</v>
      </c>
      <c r="B72" s="12" t="s">
        <v>146</v>
      </c>
      <c r="C72" s="13" t="s">
        <v>147</v>
      </c>
      <c r="D72" s="14">
        <v>45657</v>
      </c>
      <c r="E72" s="15"/>
      <c r="F72" s="16">
        <v>10</v>
      </c>
      <c r="G72" s="17">
        <f t="shared" si="25"/>
        <v>0</v>
      </c>
      <c r="H72" s="15"/>
      <c r="I72" s="15"/>
      <c r="J72" s="15"/>
      <c r="K72" s="15"/>
      <c r="L72" s="15"/>
      <c r="M72" s="17">
        <f t="shared" si="26"/>
        <v>0</v>
      </c>
      <c r="N72" s="15"/>
      <c r="O72" s="18"/>
      <c r="P72" s="18"/>
      <c r="Q72" s="19">
        <f t="shared" si="27"/>
        <v>0</v>
      </c>
      <c r="R72" s="18"/>
      <c r="S72" s="20"/>
    </row>
    <row r="73" spans="1:19" ht="15.75" x14ac:dyDescent="0.25">
      <c r="A73" s="22">
        <f t="shared" ref="A73:A90" si="28">+A72+1</f>
        <v>3</v>
      </c>
      <c r="B73" s="12" t="s">
        <v>148</v>
      </c>
      <c r="C73" s="13" t="s">
        <v>149</v>
      </c>
      <c r="D73" s="14">
        <v>45657</v>
      </c>
      <c r="E73" s="15">
        <v>15771.65119</v>
      </c>
      <c r="F73" s="16">
        <v>10</v>
      </c>
      <c r="G73" s="17">
        <f t="shared" si="25"/>
        <v>1577.165119</v>
      </c>
      <c r="H73" s="15"/>
      <c r="I73" s="15"/>
      <c r="J73" s="15"/>
      <c r="K73" s="15"/>
      <c r="L73" s="15"/>
      <c r="M73" s="17">
        <f t="shared" si="26"/>
        <v>0</v>
      </c>
      <c r="N73" s="15"/>
      <c r="O73" s="18">
        <f>20+20+20</f>
        <v>60</v>
      </c>
      <c r="P73" s="18"/>
      <c r="Q73" s="19">
        <f t="shared" si="27"/>
        <v>60</v>
      </c>
      <c r="R73" s="18"/>
      <c r="S73" s="20"/>
    </row>
    <row r="74" spans="1:19" ht="15.75" x14ac:dyDescent="0.25">
      <c r="A74" s="22">
        <f t="shared" si="28"/>
        <v>4</v>
      </c>
      <c r="B74" s="12" t="s">
        <v>150</v>
      </c>
      <c r="C74" s="13" t="s">
        <v>151</v>
      </c>
      <c r="D74" s="14">
        <v>45657</v>
      </c>
      <c r="E74" s="15">
        <v>11114.25419</v>
      </c>
      <c r="F74" s="16">
        <v>10</v>
      </c>
      <c r="G74" s="17">
        <f t="shared" si="25"/>
        <v>1111.4254189999999</v>
      </c>
      <c r="H74" s="15"/>
      <c r="I74" s="15"/>
      <c r="J74" s="15"/>
      <c r="K74" s="15"/>
      <c r="L74" s="15"/>
      <c r="M74" s="17">
        <f t="shared" si="26"/>
        <v>0</v>
      </c>
      <c r="N74" s="15"/>
      <c r="O74" s="18">
        <f>35+35+35</f>
        <v>105</v>
      </c>
      <c r="P74" s="18"/>
      <c r="Q74" s="19">
        <f t="shared" si="27"/>
        <v>105</v>
      </c>
      <c r="R74" s="18"/>
      <c r="S74" s="20"/>
    </row>
    <row r="75" spans="1:19" ht="15.75" x14ac:dyDescent="0.25">
      <c r="A75" s="22">
        <f t="shared" si="28"/>
        <v>5</v>
      </c>
      <c r="B75" s="12" t="s">
        <v>152</v>
      </c>
      <c r="C75" s="13" t="s">
        <v>153</v>
      </c>
      <c r="D75" s="14">
        <v>45657</v>
      </c>
      <c r="E75" s="15">
        <v>11087.03299</v>
      </c>
      <c r="F75" s="16">
        <v>10</v>
      </c>
      <c r="G75" s="17">
        <f t="shared" si="25"/>
        <v>1108.703299</v>
      </c>
      <c r="H75" s="15"/>
      <c r="I75" s="15"/>
      <c r="J75" s="15"/>
      <c r="K75" s="15"/>
      <c r="L75" s="15"/>
      <c r="M75" s="17">
        <f t="shared" si="26"/>
        <v>0</v>
      </c>
      <c r="N75" s="15"/>
      <c r="O75" s="18">
        <f>15</f>
        <v>15</v>
      </c>
      <c r="P75" s="18"/>
      <c r="Q75" s="19">
        <f t="shared" si="27"/>
        <v>15</v>
      </c>
      <c r="R75" s="18"/>
      <c r="S75" s="20"/>
    </row>
    <row r="76" spans="1:19" ht="15.75" x14ac:dyDescent="0.25">
      <c r="A76" s="22">
        <f t="shared" si="28"/>
        <v>6</v>
      </c>
      <c r="B76" s="12" t="s">
        <v>154</v>
      </c>
      <c r="C76" s="13" t="s">
        <v>155</v>
      </c>
      <c r="D76" s="14">
        <v>45657</v>
      </c>
      <c r="E76" s="15"/>
      <c r="F76" s="16">
        <v>10</v>
      </c>
      <c r="G76" s="17">
        <f t="shared" si="25"/>
        <v>0</v>
      </c>
      <c r="H76" s="15"/>
      <c r="I76" s="15"/>
      <c r="J76" s="15"/>
      <c r="K76" s="15"/>
      <c r="L76" s="15"/>
      <c r="M76" s="17">
        <f t="shared" si="26"/>
        <v>0</v>
      </c>
      <c r="N76" s="15"/>
      <c r="O76" s="18"/>
      <c r="P76" s="18"/>
      <c r="Q76" s="19">
        <f t="shared" si="27"/>
        <v>0</v>
      </c>
      <c r="R76" s="18"/>
      <c r="S76" s="20"/>
    </row>
    <row r="77" spans="1:19" ht="15.75" x14ac:dyDescent="0.25">
      <c r="A77" s="22">
        <f t="shared" si="28"/>
        <v>7</v>
      </c>
      <c r="B77" s="12" t="s">
        <v>156</v>
      </c>
      <c r="C77" s="13" t="s">
        <v>157</v>
      </c>
      <c r="D77" s="14">
        <v>45657</v>
      </c>
      <c r="E77" s="15"/>
      <c r="F77" s="16">
        <v>10</v>
      </c>
      <c r="G77" s="17">
        <f t="shared" si="25"/>
        <v>0</v>
      </c>
      <c r="H77" s="15"/>
      <c r="I77" s="15"/>
      <c r="J77" s="15"/>
      <c r="K77" s="15"/>
      <c r="L77" s="15"/>
      <c r="M77" s="17">
        <f t="shared" si="26"/>
        <v>0</v>
      </c>
      <c r="N77" s="15"/>
      <c r="O77" s="18"/>
      <c r="P77" s="18"/>
      <c r="Q77" s="19">
        <f t="shared" si="27"/>
        <v>0</v>
      </c>
      <c r="R77" s="18"/>
      <c r="S77" s="20"/>
    </row>
    <row r="78" spans="1:19" ht="15.75" x14ac:dyDescent="0.25">
      <c r="A78" s="22">
        <f t="shared" si="28"/>
        <v>8</v>
      </c>
      <c r="B78" s="12" t="s">
        <v>158</v>
      </c>
      <c r="C78" s="13" t="s">
        <v>159</v>
      </c>
      <c r="D78" s="14">
        <v>45657</v>
      </c>
      <c r="E78" s="15">
        <v>15176.965260000001</v>
      </c>
      <c r="F78" s="16">
        <v>10</v>
      </c>
      <c r="G78" s="17">
        <f t="shared" si="25"/>
        <v>1517.6965260000002</v>
      </c>
      <c r="H78" s="15"/>
      <c r="I78" s="15"/>
      <c r="J78" s="15"/>
      <c r="K78" s="15"/>
      <c r="L78" s="15"/>
      <c r="M78" s="17">
        <f t="shared" si="26"/>
        <v>0</v>
      </c>
      <c r="N78" s="15"/>
      <c r="O78" s="18">
        <f>10+20+15</f>
        <v>45</v>
      </c>
      <c r="P78" s="18"/>
      <c r="Q78" s="19">
        <f t="shared" si="27"/>
        <v>45</v>
      </c>
      <c r="R78" s="18"/>
      <c r="S78" s="20"/>
    </row>
    <row r="79" spans="1:19" ht="15.75" x14ac:dyDescent="0.25">
      <c r="A79" s="22">
        <f t="shared" si="28"/>
        <v>9</v>
      </c>
      <c r="B79" s="12" t="s">
        <v>160</v>
      </c>
      <c r="C79" s="13" t="s">
        <v>161</v>
      </c>
      <c r="D79" s="14">
        <v>45657</v>
      </c>
      <c r="E79" s="15">
        <v>14668.525079999999</v>
      </c>
      <c r="F79" s="16">
        <v>10</v>
      </c>
      <c r="G79" s="17">
        <f t="shared" si="25"/>
        <v>1466.8525079999999</v>
      </c>
      <c r="H79" s="15"/>
      <c r="I79" s="15"/>
      <c r="J79" s="15"/>
      <c r="K79" s="15"/>
      <c r="L79" s="15"/>
      <c r="M79" s="17">
        <f t="shared" si="26"/>
        <v>0</v>
      </c>
      <c r="N79" s="15"/>
      <c r="O79" s="18">
        <f>40+40+40</f>
        <v>120</v>
      </c>
      <c r="P79" s="18"/>
      <c r="Q79" s="19">
        <f t="shared" si="27"/>
        <v>120</v>
      </c>
      <c r="R79" s="18"/>
      <c r="S79" s="20"/>
    </row>
    <row r="80" spans="1:19" ht="15.75" x14ac:dyDescent="0.25">
      <c r="A80" s="22">
        <f t="shared" si="28"/>
        <v>10</v>
      </c>
      <c r="B80" s="12" t="s">
        <v>162</v>
      </c>
      <c r="C80" s="13" t="s">
        <v>163</v>
      </c>
      <c r="D80" s="14">
        <v>45657</v>
      </c>
      <c r="E80" s="15">
        <v>10478.3148</v>
      </c>
      <c r="F80" s="16">
        <v>10</v>
      </c>
      <c r="G80" s="17">
        <f t="shared" si="25"/>
        <v>1047.8314800000001</v>
      </c>
      <c r="H80" s="15"/>
      <c r="I80" s="15"/>
      <c r="J80" s="15"/>
      <c r="K80" s="15"/>
      <c r="L80" s="15"/>
      <c r="M80" s="17">
        <f t="shared" si="26"/>
        <v>0</v>
      </c>
      <c r="N80" s="15"/>
      <c r="O80" s="18">
        <f>25+25+25</f>
        <v>75</v>
      </c>
      <c r="P80" s="18"/>
      <c r="Q80" s="19">
        <f t="shared" si="27"/>
        <v>75</v>
      </c>
      <c r="R80" s="18"/>
      <c r="S80" s="20"/>
    </row>
    <row r="81" spans="1:19" ht="15.75" x14ac:dyDescent="0.25">
      <c r="A81" s="22">
        <f t="shared" si="28"/>
        <v>11</v>
      </c>
      <c r="B81" s="12" t="s">
        <v>164</v>
      </c>
      <c r="C81" s="13" t="s">
        <v>165</v>
      </c>
      <c r="D81" s="14">
        <v>45657</v>
      </c>
      <c r="E81" s="15"/>
      <c r="F81" s="16">
        <v>10</v>
      </c>
      <c r="G81" s="17">
        <f t="shared" si="25"/>
        <v>0</v>
      </c>
      <c r="H81" s="15"/>
      <c r="I81" s="15"/>
      <c r="J81" s="15"/>
      <c r="K81" s="15"/>
      <c r="L81" s="15"/>
      <c r="M81" s="17">
        <f t="shared" si="26"/>
        <v>0</v>
      </c>
      <c r="N81" s="15"/>
      <c r="O81" s="18"/>
      <c r="P81" s="18"/>
      <c r="Q81" s="19">
        <f t="shared" si="27"/>
        <v>0</v>
      </c>
      <c r="R81" s="18"/>
      <c r="S81" s="20"/>
    </row>
    <row r="82" spans="1:19" ht="15.75" x14ac:dyDescent="0.25">
      <c r="A82" s="22">
        <f t="shared" si="28"/>
        <v>12</v>
      </c>
      <c r="B82" s="12" t="s">
        <v>166</v>
      </c>
      <c r="C82" s="13" t="s">
        <v>167</v>
      </c>
      <c r="D82" s="14">
        <v>45657</v>
      </c>
      <c r="E82" s="15">
        <v>11850.600060000001</v>
      </c>
      <c r="F82" s="16">
        <v>10</v>
      </c>
      <c r="G82" s="17">
        <f t="shared" si="25"/>
        <v>1185.0600060000002</v>
      </c>
      <c r="H82" s="15"/>
      <c r="I82" s="15"/>
      <c r="J82" s="15"/>
      <c r="K82" s="15"/>
      <c r="L82" s="15"/>
      <c r="M82" s="17">
        <f t="shared" si="26"/>
        <v>0</v>
      </c>
      <c r="N82" s="15"/>
      <c r="O82" s="18">
        <f>90+90+90</f>
        <v>270</v>
      </c>
      <c r="P82" s="18"/>
      <c r="Q82" s="19">
        <f t="shared" si="27"/>
        <v>270</v>
      </c>
      <c r="R82" s="18"/>
      <c r="S82" s="20"/>
    </row>
    <row r="83" spans="1:19" ht="15.75" x14ac:dyDescent="0.25">
      <c r="A83" s="22">
        <f t="shared" si="28"/>
        <v>13</v>
      </c>
      <c r="B83" s="12" t="s">
        <v>168</v>
      </c>
      <c r="C83" s="13" t="s">
        <v>169</v>
      </c>
      <c r="D83" s="14">
        <v>45657</v>
      </c>
      <c r="E83" s="15">
        <v>17947.407139999999</v>
      </c>
      <c r="F83" s="16">
        <v>10</v>
      </c>
      <c r="G83" s="17">
        <f t="shared" si="25"/>
        <v>1794.740714</v>
      </c>
      <c r="H83" s="15"/>
      <c r="I83" s="15"/>
      <c r="J83" s="15"/>
      <c r="K83" s="15"/>
      <c r="L83" s="15"/>
      <c r="M83" s="17">
        <f t="shared" si="26"/>
        <v>0</v>
      </c>
      <c r="N83" s="15"/>
      <c r="O83" s="18">
        <f>70+70+70</f>
        <v>210</v>
      </c>
      <c r="P83" s="18"/>
      <c r="Q83" s="19">
        <f t="shared" si="27"/>
        <v>210</v>
      </c>
      <c r="R83" s="18"/>
      <c r="S83" s="20"/>
    </row>
    <row r="84" spans="1:19" ht="15.75" x14ac:dyDescent="0.25">
      <c r="A84" s="22">
        <f t="shared" si="28"/>
        <v>14</v>
      </c>
      <c r="B84" s="12" t="s">
        <v>170</v>
      </c>
      <c r="C84" s="13" t="s">
        <v>171</v>
      </c>
      <c r="D84" s="14">
        <v>45657</v>
      </c>
      <c r="E84" s="15"/>
      <c r="F84" s="16">
        <v>10</v>
      </c>
      <c r="G84" s="17">
        <f t="shared" si="25"/>
        <v>0</v>
      </c>
      <c r="H84" s="15"/>
      <c r="I84" s="15"/>
      <c r="J84" s="15"/>
      <c r="K84" s="15"/>
      <c r="L84" s="15"/>
      <c r="M84" s="17">
        <f t="shared" si="26"/>
        <v>0</v>
      </c>
      <c r="N84" s="15"/>
      <c r="O84" s="18"/>
      <c r="P84" s="18"/>
      <c r="Q84" s="19">
        <f t="shared" si="27"/>
        <v>0</v>
      </c>
      <c r="R84" s="18"/>
      <c r="S84" s="20"/>
    </row>
    <row r="85" spans="1:19" ht="15.75" x14ac:dyDescent="0.25">
      <c r="A85" s="22">
        <f t="shared" si="28"/>
        <v>15</v>
      </c>
      <c r="B85" s="12" t="s">
        <v>172</v>
      </c>
      <c r="C85" s="13" t="s">
        <v>173</v>
      </c>
      <c r="D85" s="14">
        <v>45657</v>
      </c>
      <c r="E85" s="15"/>
      <c r="F85" s="16">
        <v>10</v>
      </c>
      <c r="G85" s="17">
        <f t="shared" si="25"/>
        <v>0</v>
      </c>
      <c r="H85" s="15"/>
      <c r="I85" s="15"/>
      <c r="J85" s="15"/>
      <c r="K85" s="15"/>
      <c r="L85" s="15"/>
      <c r="M85" s="17">
        <f t="shared" si="26"/>
        <v>0</v>
      </c>
      <c r="N85" s="15"/>
      <c r="O85" s="18"/>
      <c r="P85" s="18"/>
      <c r="Q85" s="19">
        <f t="shared" si="27"/>
        <v>0</v>
      </c>
      <c r="R85" s="18"/>
      <c r="S85" s="20"/>
    </row>
    <row r="86" spans="1:19" ht="15.75" x14ac:dyDescent="0.25">
      <c r="A86" s="22">
        <f t="shared" si="28"/>
        <v>16</v>
      </c>
      <c r="B86" s="12" t="s">
        <v>174</v>
      </c>
      <c r="C86" s="13" t="s">
        <v>175</v>
      </c>
      <c r="D86" s="14">
        <v>45657</v>
      </c>
      <c r="E86" s="15">
        <v>38715.850209999997</v>
      </c>
      <c r="F86" s="16">
        <v>10</v>
      </c>
      <c r="G86" s="17">
        <f t="shared" si="25"/>
        <v>3871.5850209999999</v>
      </c>
      <c r="H86" s="15"/>
      <c r="I86" s="15"/>
      <c r="J86" s="15"/>
      <c r="K86" s="15"/>
      <c r="L86" s="15"/>
      <c r="M86" s="17">
        <f t="shared" si="26"/>
        <v>0</v>
      </c>
      <c r="N86" s="15"/>
      <c r="O86" s="18">
        <f>15+20</f>
        <v>35</v>
      </c>
      <c r="P86" s="18"/>
      <c r="Q86" s="19">
        <f t="shared" si="27"/>
        <v>35</v>
      </c>
      <c r="R86" s="18"/>
      <c r="S86" s="20"/>
    </row>
    <row r="87" spans="1:19" ht="15.75" x14ac:dyDescent="0.25">
      <c r="A87" s="22">
        <f t="shared" si="28"/>
        <v>17</v>
      </c>
      <c r="B87" s="12" t="s">
        <v>176</v>
      </c>
      <c r="C87" s="13" t="s">
        <v>177</v>
      </c>
      <c r="D87" s="14">
        <v>45657</v>
      </c>
      <c r="E87" s="15"/>
      <c r="F87" s="16">
        <v>10</v>
      </c>
      <c r="G87" s="17">
        <f t="shared" si="25"/>
        <v>0</v>
      </c>
      <c r="H87" s="15"/>
      <c r="I87" s="15"/>
      <c r="J87" s="15"/>
      <c r="K87" s="15"/>
      <c r="L87" s="15"/>
      <c r="M87" s="17">
        <f t="shared" si="26"/>
        <v>0</v>
      </c>
      <c r="N87" s="15"/>
      <c r="O87" s="18"/>
      <c r="P87" s="18"/>
      <c r="Q87" s="19">
        <f t="shared" si="27"/>
        <v>0</v>
      </c>
      <c r="R87" s="18"/>
      <c r="S87" s="20"/>
    </row>
    <row r="88" spans="1:19" ht="15.75" x14ac:dyDescent="0.25">
      <c r="A88" s="22">
        <f t="shared" si="28"/>
        <v>18</v>
      </c>
      <c r="B88" s="12" t="s">
        <v>178</v>
      </c>
      <c r="C88" s="13" t="s">
        <v>179</v>
      </c>
      <c r="D88" s="14">
        <v>45657</v>
      </c>
      <c r="E88" s="15"/>
      <c r="F88" s="16">
        <v>10</v>
      </c>
      <c r="G88" s="17">
        <f>+E88/F88</f>
        <v>0</v>
      </c>
      <c r="H88" s="15"/>
      <c r="I88" s="15"/>
      <c r="J88" s="15"/>
      <c r="K88" s="15"/>
      <c r="L88" s="15"/>
      <c r="M88" s="17">
        <f>+L88-N88</f>
        <v>0</v>
      </c>
      <c r="N88" s="15"/>
      <c r="O88" s="18"/>
      <c r="P88" s="18"/>
      <c r="Q88" s="19">
        <f>SUM(O88:P88)</f>
        <v>0</v>
      </c>
      <c r="R88" s="18"/>
      <c r="S88" s="20"/>
    </row>
    <row r="89" spans="1:19" ht="15.75" x14ac:dyDescent="0.25">
      <c r="A89" s="22">
        <f t="shared" si="28"/>
        <v>19</v>
      </c>
      <c r="B89" s="12" t="s">
        <v>180</v>
      </c>
      <c r="C89" s="13" t="s">
        <v>181</v>
      </c>
      <c r="D89" s="14">
        <v>45657</v>
      </c>
      <c r="E89" s="15">
        <v>11024.635029999999</v>
      </c>
      <c r="F89" s="16">
        <v>10</v>
      </c>
      <c r="G89" s="17">
        <f t="shared" si="25"/>
        <v>1102.4635029999999</v>
      </c>
      <c r="H89" s="15"/>
      <c r="I89" s="15"/>
      <c r="J89" s="15"/>
      <c r="K89" s="15"/>
      <c r="L89" s="15"/>
      <c r="M89" s="17">
        <f t="shared" si="26"/>
        <v>0</v>
      </c>
      <c r="N89" s="15"/>
      <c r="O89" s="18">
        <f>12.5</f>
        <v>12.5</v>
      </c>
      <c r="P89" s="18"/>
      <c r="Q89" s="19">
        <f t="shared" si="27"/>
        <v>12.5</v>
      </c>
      <c r="R89" s="18"/>
      <c r="S89" s="20"/>
    </row>
    <row r="90" spans="1:19" ht="15.75" x14ac:dyDescent="0.25">
      <c r="A90" s="22">
        <f t="shared" si="28"/>
        <v>20</v>
      </c>
      <c r="B90" s="12" t="s">
        <v>182</v>
      </c>
      <c r="C90" s="13" t="s">
        <v>183</v>
      </c>
      <c r="D90" s="14">
        <v>45657</v>
      </c>
      <c r="E90" s="15">
        <v>12241.79688</v>
      </c>
      <c r="F90" s="16">
        <v>10</v>
      </c>
      <c r="G90" s="17">
        <f t="shared" si="25"/>
        <v>1224.1796879999999</v>
      </c>
      <c r="H90" s="15"/>
      <c r="I90" s="15"/>
      <c r="J90" s="15"/>
      <c r="K90" s="15"/>
      <c r="L90" s="15"/>
      <c r="M90" s="17">
        <f t="shared" si="26"/>
        <v>0</v>
      </c>
      <c r="N90" s="15"/>
      <c r="O90" s="18">
        <f>110+110+110</f>
        <v>330</v>
      </c>
      <c r="P90" s="18"/>
      <c r="Q90" s="19">
        <f t="shared" si="27"/>
        <v>330</v>
      </c>
      <c r="R90" s="18"/>
      <c r="S90" s="20"/>
    </row>
    <row r="91" spans="1:19" ht="15.75" x14ac:dyDescent="0.25">
      <c r="A91" s="12">
        <v>1</v>
      </c>
      <c r="B91" s="12" t="s">
        <v>184</v>
      </c>
      <c r="C91" s="13" t="s">
        <v>185</v>
      </c>
      <c r="D91" s="14">
        <v>45657</v>
      </c>
      <c r="E91" s="15">
        <v>719.01898000000006</v>
      </c>
      <c r="F91" s="16">
        <v>10</v>
      </c>
      <c r="G91" s="17">
        <f t="shared" ref="G91:G114" si="29">+E91/F91</f>
        <v>71.901898000000003</v>
      </c>
      <c r="H91" s="15"/>
      <c r="I91" s="15"/>
      <c r="J91" s="15"/>
      <c r="K91" s="15"/>
      <c r="L91" s="15"/>
      <c r="M91" s="17">
        <f t="shared" ref="M91:M114" si="30">+L91-N91</f>
        <v>0</v>
      </c>
      <c r="N91" s="15"/>
      <c r="O91" s="18">
        <f>20</f>
        <v>20</v>
      </c>
      <c r="P91" s="18"/>
      <c r="Q91" s="19">
        <f t="shared" ref="Q91:Q114" si="31">SUM(O91:P91)</f>
        <v>20</v>
      </c>
      <c r="R91" s="18"/>
      <c r="S91" s="20"/>
    </row>
    <row r="92" spans="1:19" ht="15.75" x14ac:dyDescent="0.25">
      <c r="A92" s="12">
        <f>+A91+1</f>
        <v>2</v>
      </c>
      <c r="B92" s="12" t="s">
        <v>186</v>
      </c>
      <c r="C92" s="13" t="s">
        <v>187</v>
      </c>
      <c r="D92" s="14">
        <v>45657</v>
      </c>
      <c r="E92" s="15">
        <v>3500</v>
      </c>
      <c r="F92" s="16">
        <v>10</v>
      </c>
      <c r="G92" s="17">
        <f t="shared" si="29"/>
        <v>350</v>
      </c>
      <c r="H92" s="15"/>
      <c r="I92" s="15"/>
      <c r="J92" s="15"/>
      <c r="K92" s="15"/>
      <c r="L92" s="15"/>
      <c r="M92" s="17">
        <f t="shared" si="30"/>
        <v>0</v>
      </c>
      <c r="N92" s="15"/>
      <c r="O92" s="18">
        <f>15</f>
        <v>15</v>
      </c>
      <c r="P92" s="18"/>
      <c r="Q92" s="19">
        <f t="shared" si="31"/>
        <v>15</v>
      </c>
      <c r="R92" s="18"/>
      <c r="S92" s="20"/>
    </row>
    <row r="93" spans="1:19" ht="15.75" x14ac:dyDescent="0.25">
      <c r="A93" s="12">
        <f>+A92+1</f>
        <v>3</v>
      </c>
      <c r="B93" s="22" t="s">
        <v>188</v>
      </c>
      <c r="C93" s="13" t="s">
        <v>189</v>
      </c>
      <c r="D93" s="14">
        <v>45657</v>
      </c>
      <c r="E93" s="15"/>
      <c r="F93" s="16">
        <v>10</v>
      </c>
      <c r="G93" s="17">
        <f t="shared" si="29"/>
        <v>0</v>
      </c>
      <c r="H93" s="15"/>
      <c r="I93" s="15"/>
      <c r="J93" s="15"/>
      <c r="K93" s="15"/>
      <c r="L93" s="15"/>
      <c r="M93" s="17">
        <f t="shared" si="30"/>
        <v>0</v>
      </c>
      <c r="N93" s="15"/>
      <c r="O93" s="18"/>
      <c r="P93" s="18"/>
      <c r="Q93" s="19">
        <f t="shared" si="31"/>
        <v>0</v>
      </c>
      <c r="R93" s="18"/>
      <c r="S93" s="20"/>
    </row>
    <row r="94" spans="1:19" ht="15.75" x14ac:dyDescent="0.25">
      <c r="A94" s="12">
        <f>+A93+1</f>
        <v>4</v>
      </c>
      <c r="B94" s="12" t="s">
        <v>190</v>
      </c>
      <c r="C94" s="13" t="s">
        <v>191</v>
      </c>
      <c r="D94" s="14">
        <v>45657</v>
      </c>
      <c r="E94" s="15">
        <v>2500</v>
      </c>
      <c r="F94" s="16">
        <v>10</v>
      </c>
      <c r="G94" s="17">
        <f t="shared" si="29"/>
        <v>250</v>
      </c>
      <c r="H94" s="15"/>
      <c r="I94" s="15"/>
      <c r="J94" s="15"/>
      <c r="K94" s="15"/>
      <c r="L94" s="15"/>
      <c r="M94" s="17">
        <f t="shared" si="30"/>
        <v>0</v>
      </c>
      <c r="N94" s="15"/>
      <c r="O94" s="18">
        <f>10</f>
        <v>10</v>
      </c>
      <c r="P94" s="18"/>
      <c r="Q94" s="19">
        <f t="shared" si="31"/>
        <v>10</v>
      </c>
      <c r="R94" s="18"/>
      <c r="S94" s="20"/>
    </row>
    <row r="95" spans="1:19" ht="15.75" x14ac:dyDescent="0.25">
      <c r="A95" s="12">
        <f t="shared" ref="A95:A114" si="32">+A94+1</f>
        <v>5</v>
      </c>
      <c r="B95" s="12" t="s">
        <v>192</v>
      </c>
      <c r="C95" s="13" t="s">
        <v>193</v>
      </c>
      <c r="D95" s="14">
        <v>45657</v>
      </c>
      <c r="E95" s="15"/>
      <c r="F95" s="16">
        <v>10</v>
      </c>
      <c r="G95" s="17">
        <f t="shared" si="29"/>
        <v>0</v>
      </c>
      <c r="H95" s="15"/>
      <c r="I95" s="15"/>
      <c r="J95" s="15"/>
      <c r="K95" s="15"/>
      <c r="L95" s="15"/>
      <c r="M95" s="17">
        <f t="shared" si="30"/>
        <v>0</v>
      </c>
      <c r="N95" s="15"/>
      <c r="O95" s="18"/>
      <c r="P95" s="18"/>
      <c r="Q95" s="19">
        <f t="shared" si="31"/>
        <v>0</v>
      </c>
      <c r="R95" s="18"/>
      <c r="S95" s="20"/>
    </row>
    <row r="96" spans="1:19" ht="15.75" x14ac:dyDescent="0.25">
      <c r="A96" s="12">
        <f t="shared" si="32"/>
        <v>6</v>
      </c>
      <c r="B96" s="12" t="s">
        <v>194</v>
      </c>
      <c r="C96" s="13" t="s">
        <v>195</v>
      </c>
      <c r="D96" s="14">
        <v>45657</v>
      </c>
      <c r="E96" s="15">
        <v>1494.1569099999999</v>
      </c>
      <c r="F96" s="16">
        <v>10</v>
      </c>
      <c r="G96" s="17">
        <f t="shared" si="29"/>
        <v>149.41569099999998</v>
      </c>
      <c r="H96" s="15"/>
      <c r="I96" s="15"/>
      <c r="J96" s="15"/>
      <c r="K96" s="15"/>
      <c r="L96" s="15"/>
      <c r="M96" s="17">
        <f t="shared" si="30"/>
        <v>0</v>
      </c>
      <c r="N96" s="15"/>
      <c r="O96" s="18">
        <f>25</f>
        <v>25</v>
      </c>
      <c r="P96" s="18"/>
      <c r="Q96" s="19">
        <f t="shared" si="31"/>
        <v>25</v>
      </c>
      <c r="R96" s="18"/>
      <c r="S96" s="20"/>
    </row>
    <row r="97" spans="1:19" ht="15.75" x14ac:dyDescent="0.25">
      <c r="A97" s="12">
        <f t="shared" si="32"/>
        <v>7</v>
      </c>
      <c r="B97" s="12" t="s">
        <v>196</v>
      </c>
      <c r="C97" s="13" t="s">
        <v>197</v>
      </c>
      <c r="D97" s="14">
        <v>45657</v>
      </c>
      <c r="E97" s="15"/>
      <c r="F97" s="16">
        <v>10</v>
      </c>
      <c r="G97" s="17">
        <f t="shared" si="29"/>
        <v>0</v>
      </c>
      <c r="H97" s="15"/>
      <c r="I97" s="15"/>
      <c r="J97" s="15"/>
      <c r="K97" s="15"/>
      <c r="L97" s="15"/>
      <c r="M97" s="17">
        <f t="shared" si="30"/>
        <v>0</v>
      </c>
      <c r="N97" s="15"/>
      <c r="O97" s="18"/>
      <c r="P97" s="18"/>
      <c r="Q97" s="19">
        <f t="shared" si="31"/>
        <v>0</v>
      </c>
      <c r="R97" s="18"/>
      <c r="S97" s="20"/>
    </row>
    <row r="98" spans="1:19" ht="15.75" x14ac:dyDescent="0.25">
      <c r="A98" s="12">
        <f t="shared" si="32"/>
        <v>8</v>
      </c>
      <c r="B98" s="12" t="s">
        <v>198</v>
      </c>
      <c r="C98" s="13" t="s">
        <v>199</v>
      </c>
      <c r="D98" s="14">
        <v>45657</v>
      </c>
      <c r="E98" s="15"/>
      <c r="F98" s="16">
        <v>10</v>
      </c>
      <c r="G98" s="17">
        <f t="shared" si="29"/>
        <v>0</v>
      </c>
      <c r="H98" s="15"/>
      <c r="I98" s="15"/>
      <c r="J98" s="15"/>
      <c r="K98" s="15"/>
      <c r="L98" s="15"/>
      <c r="M98" s="17">
        <f t="shared" si="30"/>
        <v>0</v>
      </c>
      <c r="N98" s="15"/>
      <c r="O98" s="18"/>
      <c r="P98" s="18"/>
      <c r="Q98" s="19">
        <f t="shared" si="31"/>
        <v>0</v>
      </c>
      <c r="R98" s="18"/>
      <c r="S98" s="20"/>
    </row>
    <row r="99" spans="1:19" ht="15.75" x14ac:dyDescent="0.25">
      <c r="A99" s="12">
        <f t="shared" si="32"/>
        <v>9</v>
      </c>
      <c r="B99" s="12" t="s">
        <v>200</v>
      </c>
      <c r="C99" s="13" t="s">
        <v>201</v>
      </c>
      <c r="D99" s="14">
        <v>45657</v>
      </c>
      <c r="E99" s="15">
        <v>2000</v>
      </c>
      <c r="F99" s="16">
        <v>10</v>
      </c>
      <c r="G99" s="17">
        <f t="shared" si="29"/>
        <v>200</v>
      </c>
      <c r="H99" s="15"/>
      <c r="I99" s="15"/>
      <c r="J99" s="15"/>
      <c r="K99" s="15"/>
      <c r="L99" s="15"/>
      <c r="M99" s="17">
        <f t="shared" si="30"/>
        <v>0</v>
      </c>
      <c r="N99" s="15"/>
      <c r="O99" s="18">
        <f>15+15+15</f>
        <v>45</v>
      </c>
      <c r="P99" s="18"/>
      <c r="Q99" s="19">
        <f t="shared" si="31"/>
        <v>45</v>
      </c>
      <c r="R99" s="18"/>
      <c r="S99" s="20"/>
    </row>
    <row r="100" spans="1:19" ht="15.75" x14ac:dyDescent="0.25">
      <c r="A100" s="12">
        <f t="shared" si="32"/>
        <v>10</v>
      </c>
      <c r="B100" s="22" t="s">
        <v>202</v>
      </c>
      <c r="C100" s="13" t="s">
        <v>203</v>
      </c>
      <c r="D100" s="14">
        <v>45657</v>
      </c>
      <c r="E100" s="15">
        <v>1050</v>
      </c>
      <c r="F100" s="16">
        <v>10</v>
      </c>
      <c r="G100" s="17">
        <f t="shared" si="29"/>
        <v>105</v>
      </c>
      <c r="H100" s="15"/>
      <c r="I100" s="15"/>
      <c r="J100" s="15"/>
      <c r="K100" s="15"/>
      <c r="L100" s="15"/>
      <c r="M100" s="17">
        <f t="shared" si="30"/>
        <v>0</v>
      </c>
      <c r="N100" s="15"/>
      <c r="O100" s="18">
        <f>15+15+15</f>
        <v>45</v>
      </c>
      <c r="P100" s="18"/>
      <c r="Q100" s="19">
        <f t="shared" si="31"/>
        <v>45</v>
      </c>
      <c r="R100" s="18"/>
      <c r="S100" s="20"/>
    </row>
    <row r="101" spans="1:19" ht="15.75" x14ac:dyDescent="0.25">
      <c r="A101" s="12">
        <f t="shared" si="32"/>
        <v>11</v>
      </c>
      <c r="B101" s="12" t="s">
        <v>204</v>
      </c>
      <c r="C101" s="13" t="s">
        <v>205</v>
      </c>
      <c r="D101" s="14">
        <v>45657</v>
      </c>
      <c r="E101" s="15">
        <v>2225.0260600000001</v>
      </c>
      <c r="F101" s="16">
        <v>10</v>
      </c>
      <c r="G101" s="17">
        <f t="shared" si="29"/>
        <v>222.50260600000001</v>
      </c>
      <c r="H101" s="15"/>
      <c r="I101" s="15"/>
      <c r="J101" s="15"/>
      <c r="K101" s="15"/>
      <c r="L101" s="15"/>
      <c r="M101" s="17">
        <f t="shared" si="30"/>
        <v>0</v>
      </c>
      <c r="N101" s="15"/>
      <c r="O101" s="18"/>
      <c r="P101" s="18">
        <f>10</f>
        <v>10</v>
      </c>
      <c r="Q101" s="19">
        <f t="shared" si="31"/>
        <v>10</v>
      </c>
      <c r="R101" s="18">
        <v>15</v>
      </c>
      <c r="S101" s="20"/>
    </row>
    <row r="102" spans="1:19" ht="15.75" x14ac:dyDescent="0.25">
      <c r="A102" s="12">
        <f t="shared" si="32"/>
        <v>12</v>
      </c>
      <c r="B102" s="12" t="s">
        <v>206</v>
      </c>
      <c r="C102" s="13" t="s">
        <v>207</v>
      </c>
      <c r="D102" s="14">
        <v>45657</v>
      </c>
      <c r="E102" s="15"/>
      <c r="F102" s="16">
        <v>5</v>
      </c>
      <c r="G102" s="17">
        <f t="shared" si="29"/>
        <v>0</v>
      </c>
      <c r="H102" s="15"/>
      <c r="I102" s="15"/>
      <c r="J102" s="15"/>
      <c r="K102" s="15"/>
      <c r="L102" s="15"/>
      <c r="M102" s="17">
        <f t="shared" si="30"/>
        <v>0</v>
      </c>
      <c r="N102" s="15"/>
      <c r="O102" s="18"/>
      <c r="P102" s="18"/>
      <c r="Q102" s="19">
        <f t="shared" si="31"/>
        <v>0</v>
      </c>
      <c r="R102" s="18"/>
      <c r="S102" s="20"/>
    </row>
    <row r="103" spans="1:19" ht="15.75" x14ac:dyDescent="0.25">
      <c r="A103" s="12">
        <f t="shared" si="32"/>
        <v>13</v>
      </c>
      <c r="B103" s="12" t="s">
        <v>208</v>
      </c>
      <c r="C103" s="13" t="s">
        <v>209</v>
      </c>
      <c r="D103" s="14">
        <v>45657</v>
      </c>
      <c r="E103" s="15">
        <v>1426.3054999999999</v>
      </c>
      <c r="F103" s="16">
        <v>10</v>
      </c>
      <c r="G103" s="17">
        <f t="shared" si="29"/>
        <v>142.63055</v>
      </c>
      <c r="H103" s="15"/>
      <c r="I103" s="15"/>
      <c r="J103" s="15"/>
      <c r="K103" s="15"/>
      <c r="L103" s="15"/>
      <c r="M103" s="17">
        <f t="shared" si="30"/>
        <v>0</v>
      </c>
      <c r="N103" s="15"/>
      <c r="O103" s="18">
        <f>20</f>
        <v>20</v>
      </c>
      <c r="P103" s="18"/>
      <c r="Q103" s="19">
        <f t="shared" si="31"/>
        <v>20</v>
      </c>
      <c r="R103" s="18"/>
      <c r="S103" s="20"/>
    </row>
    <row r="104" spans="1:19" ht="15.75" x14ac:dyDescent="0.25">
      <c r="A104" s="12">
        <f t="shared" si="32"/>
        <v>14</v>
      </c>
      <c r="B104" s="12" t="s">
        <v>210</v>
      </c>
      <c r="C104" s="13" t="s">
        <v>211</v>
      </c>
      <c r="D104" s="14">
        <v>45657</v>
      </c>
      <c r="E104" s="15"/>
      <c r="F104" s="16">
        <v>10</v>
      </c>
      <c r="G104" s="17">
        <f t="shared" si="29"/>
        <v>0</v>
      </c>
      <c r="H104" s="15"/>
      <c r="I104" s="15"/>
      <c r="J104" s="15"/>
      <c r="K104" s="15"/>
      <c r="L104" s="15"/>
      <c r="M104" s="17">
        <f t="shared" si="30"/>
        <v>0</v>
      </c>
      <c r="N104" s="15"/>
      <c r="O104" s="18"/>
      <c r="P104" s="18"/>
      <c r="Q104" s="19">
        <f t="shared" si="31"/>
        <v>0</v>
      </c>
      <c r="R104" s="18"/>
      <c r="S104" s="20"/>
    </row>
    <row r="105" spans="1:19" ht="15.75" x14ac:dyDescent="0.25">
      <c r="A105" s="12">
        <f t="shared" si="32"/>
        <v>15</v>
      </c>
      <c r="B105" s="12" t="s">
        <v>212</v>
      </c>
      <c r="C105" s="13" t="s">
        <v>213</v>
      </c>
      <c r="D105" s="14">
        <v>45657</v>
      </c>
      <c r="E105" s="15"/>
      <c r="F105" s="16">
        <v>10</v>
      </c>
      <c r="G105" s="17">
        <f t="shared" si="29"/>
        <v>0</v>
      </c>
      <c r="H105" s="15"/>
      <c r="I105" s="15"/>
      <c r="J105" s="15"/>
      <c r="K105" s="15"/>
      <c r="L105" s="15"/>
      <c r="M105" s="17">
        <f t="shared" si="30"/>
        <v>0</v>
      </c>
      <c r="N105" s="15"/>
      <c r="O105" s="18"/>
      <c r="P105" s="18"/>
      <c r="Q105" s="19">
        <f t="shared" si="31"/>
        <v>0</v>
      </c>
      <c r="R105" s="18"/>
      <c r="S105" s="20"/>
    </row>
    <row r="106" spans="1:19" ht="15.75" x14ac:dyDescent="0.25">
      <c r="A106" s="12">
        <f t="shared" si="32"/>
        <v>16</v>
      </c>
      <c r="B106" s="22" t="s">
        <v>214</v>
      </c>
      <c r="C106" s="13" t="s">
        <v>215</v>
      </c>
      <c r="D106" s="14">
        <v>45657</v>
      </c>
      <c r="E106" s="15">
        <v>1003.5331</v>
      </c>
      <c r="F106" s="16">
        <v>10</v>
      </c>
      <c r="G106" s="17">
        <f t="shared" si="29"/>
        <v>100.35330999999999</v>
      </c>
      <c r="H106" s="15"/>
      <c r="I106" s="15"/>
      <c r="J106" s="15"/>
      <c r="K106" s="15"/>
      <c r="L106" s="15"/>
      <c r="M106" s="17">
        <f t="shared" si="30"/>
        <v>0</v>
      </c>
      <c r="N106" s="15"/>
      <c r="O106" s="18">
        <f>30</f>
        <v>30</v>
      </c>
      <c r="P106" s="18"/>
      <c r="Q106" s="19">
        <f t="shared" si="31"/>
        <v>30</v>
      </c>
      <c r="R106" s="18"/>
      <c r="S106" s="20"/>
    </row>
    <row r="107" spans="1:19" ht="15.75" x14ac:dyDescent="0.25">
      <c r="A107" s="12">
        <f t="shared" si="32"/>
        <v>17</v>
      </c>
      <c r="B107" s="12" t="s">
        <v>216</v>
      </c>
      <c r="C107" s="13" t="s">
        <v>217</v>
      </c>
      <c r="D107" s="14">
        <v>45657</v>
      </c>
      <c r="E107" s="15"/>
      <c r="F107" s="16">
        <v>10</v>
      </c>
      <c r="G107" s="17">
        <f t="shared" si="29"/>
        <v>0</v>
      </c>
      <c r="H107" s="15"/>
      <c r="I107" s="15"/>
      <c r="J107" s="15"/>
      <c r="K107" s="15"/>
      <c r="L107" s="15"/>
      <c r="M107" s="17">
        <f t="shared" si="30"/>
        <v>0</v>
      </c>
      <c r="N107" s="15"/>
      <c r="O107" s="18"/>
      <c r="P107" s="18"/>
      <c r="Q107" s="19">
        <f t="shared" si="31"/>
        <v>0</v>
      </c>
      <c r="R107" s="18"/>
      <c r="S107" s="20"/>
    </row>
    <row r="108" spans="1:19" ht="15.75" x14ac:dyDescent="0.25">
      <c r="A108" s="12">
        <f t="shared" si="32"/>
        <v>18</v>
      </c>
      <c r="B108" s="12" t="s">
        <v>218</v>
      </c>
      <c r="C108" s="13" t="s">
        <v>219</v>
      </c>
      <c r="D108" s="14">
        <v>45657</v>
      </c>
      <c r="E108" s="15"/>
      <c r="F108" s="16">
        <v>10</v>
      </c>
      <c r="G108" s="17">
        <f t="shared" si="29"/>
        <v>0</v>
      </c>
      <c r="H108" s="15"/>
      <c r="I108" s="15"/>
      <c r="J108" s="15"/>
      <c r="K108" s="15"/>
      <c r="L108" s="15"/>
      <c r="M108" s="17">
        <f t="shared" si="30"/>
        <v>0</v>
      </c>
      <c r="N108" s="15"/>
      <c r="O108" s="18"/>
      <c r="P108" s="18"/>
      <c r="Q108" s="19">
        <f t="shared" si="31"/>
        <v>0</v>
      </c>
      <c r="R108" s="18"/>
      <c r="S108" s="20"/>
    </row>
    <row r="109" spans="1:19" ht="15.75" x14ac:dyDescent="0.25">
      <c r="A109" s="12">
        <f t="shared" si="32"/>
        <v>19</v>
      </c>
      <c r="B109" s="12" t="s">
        <v>220</v>
      </c>
      <c r="C109" s="13" t="s">
        <v>221</v>
      </c>
      <c r="D109" s="14">
        <v>45657</v>
      </c>
      <c r="E109" s="15"/>
      <c r="F109" s="16">
        <v>10</v>
      </c>
      <c r="G109" s="17">
        <f>+E109/F109</f>
        <v>0</v>
      </c>
      <c r="H109" s="15"/>
      <c r="I109" s="15"/>
      <c r="J109" s="15"/>
      <c r="K109" s="15"/>
      <c r="L109" s="15"/>
      <c r="M109" s="17">
        <f>+L109-N109</f>
        <v>0</v>
      </c>
      <c r="N109" s="15"/>
      <c r="O109" s="18"/>
      <c r="P109" s="18"/>
      <c r="Q109" s="19">
        <f>SUM(O109:P109)</f>
        <v>0</v>
      </c>
      <c r="R109" s="18"/>
      <c r="S109" s="20"/>
    </row>
    <row r="110" spans="1:19" ht="15.75" x14ac:dyDescent="0.25">
      <c r="A110" s="12">
        <f t="shared" si="32"/>
        <v>20</v>
      </c>
      <c r="B110" s="12" t="s">
        <v>222</v>
      </c>
      <c r="C110" s="13" t="s">
        <v>223</v>
      </c>
      <c r="D110" s="14">
        <v>45657</v>
      </c>
      <c r="E110" s="15"/>
      <c r="F110" s="16">
        <v>10</v>
      </c>
      <c r="G110" s="17">
        <f t="shared" si="29"/>
        <v>0</v>
      </c>
      <c r="H110" s="15"/>
      <c r="I110" s="15"/>
      <c r="J110" s="15"/>
      <c r="K110" s="15"/>
      <c r="L110" s="15"/>
      <c r="M110" s="17">
        <f t="shared" si="30"/>
        <v>0</v>
      </c>
      <c r="N110" s="15"/>
      <c r="O110" s="18"/>
      <c r="P110" s="18"/>
      <c r="Q110" s="19">
        <f t="shared" si="31"/>
        <v>0</v>
      </c>
      <c r="R110" s="18"/>
      <c r="S110" s="20"/>
    </row>
    <row r="111" spans="1:19" ht="15.75" x14ac:dyDescent="0.25">
      <c r="A111" s="12">
        <f t="shared" si="32"/>
        <v>21</v>
      </c>
      <c r="B111" s="12" t="s">
        <v>224</v>
      </c>
      <c r="C111" s="13" t="s">
        <v>225</v>
      </c>
      <c r="D111" s="14">
        <v>45657</v>
      </c>
      <c r="E111" s="15"/>
      <c r="F111" s="16">
        <v>10</v>
      </c>
      <c r="G111" s="17">
        <f t="shared" si="29"/>
        <v>0</v>
      </c>
      <c r="H111" s="15"/>
      <c r="I111" s="15"/>
      <c r="J111" s="15"/>
      <c r="K111" s="15"/>
      <c r="L111" s="15"/>
      <c r="M111" s="17">
        <f t="shared" si="30"/>
        <v>0</v>
      </c>
      <c r="N111" s="15"/>
      <c r="O111" s="18"/>
      <c r="P111" s="18"/>
      <c r="Q111" s="19">
        <f t="shared" si="31"/>
        <v>0</v>
      </c>
      <c r="R111" s="18"/>
      <c r="S111" s="20"/>
    </row>
    <row r="112" spans="1:19" ht="15.75" x14ac:dyDescent="0.25">
      <c r="A112" s="12">
        <f t="shared" si="32"/>
        <v>22</v>
      </c>
      <c r="B112" s="12" t="s">
        <v>226</v>
      </c>
      <c r="C112" s="13" t="s">
        <v>227</v>
      </c>
      <c r="D112" s="14">
        <v>45657</v>
      </c>
      <c r="E112" s="15"/>
      <c r="F112" s="16">
        <v>10</v>
      </c>
      <c r="G112" s="17">
        <f t="shared" si="29"/>
        <v>0</v>
      </c>
      <c r="H112" s="15"/>
      <c r="I112" s="15"/>
      <c r="J112" s="15"/>
      <c r="K112" s="15"/>
      <c r="L112" s="15"/>
      <c r="M112" s="17">
        <f t="shared" si="30"/>
        <v>0</v>
      </c>
      <c r="N112" s="15"/>
      <c r="O112" s="18"/>
      <c r="P112" s="18"/>
      <c r="Q112" s="19">
        <f t="shared" si="31"/>
        <v>0</v>
      </c>
      <c r="R112" s="18"/>
      <c r="S112" s="20"/>
    </row>
    <row r="113" spans="1:19" ht="15.75" x14ac:dyDescent="0.25">
      <c r="A113" s="12">
        <f t="shared" si="32"/>
        <v>23</v>
      </c>
      <c r="B113" s="12" t="s">
        <v>228</v>
      </c>
      <c r="C113" s="13" t="s">
        <v>229</v>
      </c>
      <c r="D113" s="14">
        <v>45657</v>
      </c>
      <c r="E113" s="15">
        <v>3467.5</v>
      </c>
      <c r="F113" s="16">
        <v>10</v>
      </c>
      <c r="G113" s="17">
        <f t="shared" si="29"/>
        <v>346.75</v>
      </c>
      <c r="H113" s="15"/>
      <c r="I113" s="15"/>
      <c r="J113" s="15"/>
      <c r="K113" s="15"/>
      <c r="L113" s="15"/>
      <c r="M113" s="17">
        <f t="shared" si="30"/>
        <v>0</v>
      </c>
      <c r="N113" s="15"/>
      <c r="O113" s="18">
        <f>20</f>
        <v>20</v>
      </c>
      <c r="P113" s="18"/>
      <c r="Q113" s="19">
        <f t="shared" si="31"/>
        <v>20</v>
      </c>
      <c r="R113" s="18"/>
      <c r="S113" s="20"/>
    </row>
    <row r="114" spans="1:19" ht="15.75" x14ac:dyDescent="0.25">
      <c r="A114" s="12">
        <f t="shared" si="32"/>
        <v>24</v>
      </c>
      <c r="B114" s="12" t="s">
        <v>230</v>
      </c>
      <c r="C114" s="13" t="s">
        <v>231</v>
      </c>
      <c r="D114" s="14">
        <v>45657</v>
      </c>
      <c r="E114" s="15"/>
      <c r="F114" s="16">
        <v>10</v>
      </c>
      <c r="G114" s="17">
        <f t="shared" si="29"/>
        <v>0</v>
      </c>
      <c r="H114" s="15"/>
      <c r="I114" s="15"/>
      <c r="J114" s="15"/>
      <c r="K114" s="15"/>
      <c r="L114" s="15"/>
      <c r="M114" s="17">
        <f t="shared" si="30"/>
        <v>0</v>
      </c>
      <c r="N114" s="15"/>
      <c r="O114" s="18"/>
      <c r="P114" s="18"/>
      <c r="Q114" s="19">
        <f t="shared" si="31"/>
        <v>0</v>
      </c>
      <c r="R114" s="18"/>
      <c r="S114" s="20"/>
    </row>
    <row r="115" spans="1:19" ht="15.75" x14ac:dyDescent="0.25">
      <c r="A115" s="12">
        <v>1</v>
      </c>
      <c r="B115" s="12" t="s">
        <v>232</v>
      </c>
      <c r="C115" s="13" t="s">
        <v>233</v>
      </c>
      <c r="D115" s="14">
        <v>45657</v>
      </c>
      <c r="E115" s="15"/>
      <c r="F115" s="16">
        <v>10</v>
      </c>
      <c r="G115" s="17">
        <f t="shared" ref="G115:G119" si="33">+E115/F115</f>
        <v>0</v>
      </c>
      <c r="H115" s="15"/>
      <c r="I115" s="15"/>
      <c r="J115" s="15"/>
      <c r="K115" s="15"/>
      <c r="L115" s="15"/>
      <c r="M115" s="17">
        <f t="shared" ref="M115:M119" si="34">+L115-N115</f>
        <v>0</v>
      </c>
      <c r="N115" s="15"/>
      <c r="O115" s="18"/>
      <c r="P115" s="18"/>
      <c r="Q115" s="19">
        <f t="shared" ref="Q115:Q119" si="35">SUM(O115:P115)</f>
        <v>0</v>
      </c>
      <c r="R115" s="18"/>
      <c r="S115" s="20"/>
    </row>
    <row r="116" spans="1:19" ht="15.75" x14ac:dyDescent="0.25">
      <c r="A116" s="12">
        <f>+A115+1</f>
        <v>2</v>
      </c>
      <c r="B116" s="12" t="s">
        <v>234</v>
      </c>
      <c r="C116" s="13" t="s">
        <v>235</v>
      </c>
      <c r="D116" s="14">
        <v>45657</v>
      </c>
      <c r="E116" s="15"/>
      <c r="F116" s="16">
        <v>10</v>
      </c>
      <c r="G116" s="17">
        <f t="shared" si="33"/>
        <v>0</v>
      </c>
      <c r="H116" s="15"/>
      <c r="I116" s="15"/>
      <c r="J116" s="15"/>
      <c r="K116" s="15"/>
      <c r="L116" s="15"/>
      <c r="M116" s="17">
        <f t="shared" si="34"/>
        <v>0</v>
      </c>
      <c r="N116" s="15"/>
      <c r="O116" s="18"/>
      <c r="P116" s="18"/>
      <c r="Q116" s="19">
        <f t="shared" si="35"/>
        <v>0</v>
      </c>
      <c r="R116" s="18"/>
      <c r="S116" s="20"/>
    </row>
    <row r="117" spans="1:19" ht="15.75" x14ac:dyDescent="0.25">
      <c r="A117" s="12">
        <f>+A116+1</f>
        <v>3</v>
      </c>
      <c r="B117" s="12" t="s">
        <v>236</v>
      </c>
      <c r="C117" s="13" t="s">
        <v>237</v>
      </c>
      <c r="D117" s="14">
        <v>45657</v>
      </c>
      <c r="E117" s="15"/>
      <c r="F117" s="16">
        <v>10</v>
      </c>
      <c r="G117" s="17">
        <f t="shared" si="33"/>
        <v>0</v>
      </c>
      <c r="H117" s="15"/>
      <c r="I117" s="15"/>
      <c r="J117" s="15"/>
      <c r="K117" s="15"/>
      <c r="L117" s="15"/>
      <c r="M117" s="17">
        <f t="shared" si="34"/>
        <v>0</v>
      </c>
      <c r="N117" s="15"/>
      <c r="O117" s="18"/>
      <c r="P117" s="18"/>
      <c r="Q117" s="19">
        <f t="shared" si="35"/>
        <v>0</v>
      </c>
      <c r="R117" s="18"/>
      <c r="S117" s="20"/>
    </row>
    <row r="118" spans="1:19" ht="15.75" x14ac:dyDescent="0.25">
      <c r="A118" s="12">
        <f t="shared" ref="A118:A119" si="36">+A117+1</f>
        <v>4</v>
      </c>
      <c r="B118" s="12" t="s">
        <v>238</v>
      </c>
      <c r="C118" s="13" t="s">
        <v>239</v>
      </c>
      <c r="D118" s="14">
        <v>45657</v>
      </c>
      <c r="E118" s="15"/>
      <c r="F118" s="16">
        <v>10</v>
      </c>
      <c r="G118" s="17">
        <f t="shared" si="33"/>
        <v>0</v>
      </c>
      <c r="H118" s="15"/>
      <c r="I118" s="15"/>
      <c r="J118" s="15"/>
      <c r="K118" s="15"/>
      <c r="L118" s="15"/>
      <c r="M118" s="17">
        <f t="shared" si="34"/>
        <v>0</v>
      </c>
      <c r="N118" s="15"/>
      <c r="O118" s="18"/>
      <c r="P118" s="18"/>
      <c r="Q118" s="19">
        <f t="shared" si="35"/>
        <v>0</v>
      </c>
      <c r="R118" s="18"/>
      <c r="S118" s="20"/>
    </row>
    <row r="119" spans="1:19" ht="15.75" x14ac:dyDescent="0.25">
      <c r="A119" s="12">
        <f t="shared" si="36"/>
        <v>5</v>
      </c>
      <c r="B119" s="12" t="s">
        <v>240</v>
      </c>
      <c r="C119" s="13" t="s">
        <v>241</v>
      </c>
      <c r="D119" s="14">
        <v>45657</v>
      </c>
      <c r="E119" s="15"/>
      <c r="F119" s="16">
        <v>10</v>
      </c>
      <c r="G119" s="17">
        <f t="shared" si="33"/>
        <v>0</v>
      </c>
      <c r="H119" s="15"/>
      <c r="I119" s="15"/>
      <c r="J119" s="15"/>
      <c r="K119" s="15"/>
      <c r="L119" s="15"/>
      <c r="M119" s="17">
        <f t="shared" si="34"/>
        <v>0</v>
      </c>
      <c r="N119" s="15"/>
      <c r="O119" s="18"/>
      <c r="P119" s="18"/>
      <c r="Q119" s="19">
        <f t="shared" si="35"/>
        <v>0</v>
      </c>
      <c r="R119" s="18"/>
      <c r="S119" s="20"/>
    </row>
    <row r="120" spans="1:19" ht="15.75" x14ac:dyDescent="0.25">
      <c r="A120" s="22">
        <v>1</v>
      </c>
      <c r="B120" s="22" t="s">
        <v>242</v>
      </c>
      <c r="C120" s="13" t="s">
        <v>243</v>
      </c>
      <c r="D120" s="14">
        <v>45473</v>
      </c>
      <c r="E120" s="15">
        <f>2223.7*F120</f>
        <v>22237</v>
      </c>
      <c r="F120" s="16">
        <v>10</v>
      </c>
      <c r="G120" s="17">
        <f>+E120/F120</f>
        <v>2223.6999999999998</v>
      </c>
      <c r="H120" s="15">
        <v>73189.001999999993</v>
      </c>
      <c r="I120" s="15">
        <v>74054.968999999997</v>
      </c>
      <c r="J120" s="15">
        <v>5158.5969999999998</v>
      </c>
      <c r="K120" s="15">
        <v>0</v>
      </c>
      <c r="L120" s="15">
        <v>8140.0550000000003</v>
      </c>
      <c r="M120" s="17">
        <f>+L120-N120</f>
        <v>0</v>
      </c>
      <c r="N120" s="15">
        <v>8140.0550000000003</v>
      </c>
      <c r="O120" s="18">
        <f>5+5+5+5</f>
        <v>20</v>
      </c>
      <c r="P120" s="18">
        <v>0</v>
      </c>
      <c r="Q120" s="19">
        <f>SUM(O120:P120)</f>
        <v>20</v>
      </c>
      <c r="R120" s="18"/>
      <c r="S120" s="20">
        <v>5760</v>
      </c>
    </row>
    <row r="121" spans="1:19" ht="15.75" x14ac:dyDescent="0.25">
      <c r="A121" s="22">
        <f>+A120+1</f>
        <v>2</v>
      </c>
      <c r="B121" s="22" t="s">
        <v>244</v>
      </c>
      <c r="C121" s="13" t="s">
        <v>245</v>
      </c>
      <c r="D121" s="14">
        <v>45473</v>
      </c>
      <c r="E121" s="15">
        <v>1400</v>
      </c>
      <c r="F121" s="16">
        <v>10</v>
      </c>
      <c r="G121" s="17">
        <f>+E121/F121</f>
        <v>140</v>
      </c>
      <c r="H121" s="15">
        <v>1687.405</v>
      </c>
      <c r="I121" s="15">
        <v>4789.9669999999996</v>
      </c>
      <c r="J121" s="15">
        <v>3036.5639999999999</v>
      </c>
      <c r="K121" s="15">
        <v>0</v>
      </c>
      <c r="L121" s="15">
        <v>233.28700000000001</v>
      </c>
      <c r="M121" s="17">
        <f>+L121-N121</f>
        <v>-18.627999999999986</v>
      </c>
      <c r="N121" s="15">
        <v>251.91499999999999</v>
      </c>
      <c r="O121" s="18">
        <v>17.5</v>
      </c>
      <c r="P121" s="18">
        <v>0</v>
      </c>
      <c r="Q121" s="19">
        <f>SUM(O121:P121)</f>
        <v>17.5</v>
      </c>
      <c r="R121" s="18"/>
      <c r="S121" s="20">
        <v>1324</v>
      </c>
    </row>
    <row r="122" spans="1:19" ht="15.75" x14ac:dyDescent="0.25">
      <c r="A122" s="22">
        <f>+A121+1</f>
        <v>3</v>
      </c>
      <c r="B122" s="22" t="s">
        <v>246</v>
      </c>
      <c r="C122" s="13" t="s">
        <v>247</v>
      </c>
      <c r="D122" s="14">
        <v>45473</v>
      </c>
      <c r="E122" s="15">
        <v>18350</v>
      </c>
      <c r="F122" s="16">
        <v>10</v>
      </c>
      <c r="G122" s="17">
        <f>+E122/F122</f>
        <v>1835</v>
      </c>
      <c r="H122" s="15">
        <v>32800.525999999998</v>
      </c>
      <c r="I122" s="15">
        <f>34668.398+34879.489</f>
        <v>69547.887000000002</v>
      </c>
      <c r="J122" s="15">
        <v>1039.46</v>
      </c>
      <c r="K122" s="15">
        <v>0</v>
      </c>
      <c r="L122" s="15">
        <v>376.37299999999999</v>
      </c>
      <c r="M122" s="17">
        <f>+L122-N122</f>
        <v>0</v>
      </c>
      <c r="N122" s="15">
        <v>376.37299999999999</v>
      </c>
      <c r="O122" s="18">
        <v>0</v>
      </c>
      <c r="P122" s="18">
        <v>0</v>
      </c>
      <c r="Q122" s="19">
        <f>SUM(O122:P122)</f>
        <v>0</v>
      </c>
      <c r="R122" s="18"/>
      <c r="S122" s="20"/>
    </row>
    <row r="123" spans="1:19" ht="15.75" x14ac:dyDescent="0.25">
      <c r="A123" s="22">
        <v>1</v>
      </c>
      <c r="B123" s="22" t="s">
        <v>248</v>
      </c>
      <c r="C123" s="13" t="s">
        <v>249</v>
      </c>
      <c r="D123" s="14">
        <v>45473</v>
      </c>
      <c r="E123" s="15">
        <v>222.13346999999999</v>
      </c>
      <c r="F123" s="16">
        <v>5</v>
      </c>
      <c r="G123" s="17">
        <f>+E123/F123</f>
        <v>44.426693999999998</v>
      </c>
      <c r="H123" s="15">
        <v>2218.958063</v>
      </c>
      <c r="I123" s="15">
        <v>2517.78467</v>
      </c>
      <c r="J123" s="15">
        <v>66.402000000000001</v>
      </c>
      <c r="K123" s="15">
        <v>11.540316000000001</v>
      </c>
      <c r="L123" s="15">
        <v>173.71060800000001</v>
      </c>
      <c r="M123" s="17">
        <f>+L123-N123</f>
        <v>73.88567900000001</v>
      </c>
      <c r="N123" s="15">
        <v>99.824928999999997</v>
      </c>
      <c r="O123" s="18">
        <v>0</v>
      </c>
      <c r="P123" s="18">
        <v>0</v>
      </c>
      <c r="Q123" s="19">
        <f>SUM(O123:P123)</f>
        <v>0</v>
      </c>
      <c r="R123" s="18"/>
      <c r="S123" s="20"/>
    </row>
    <row r="124" spans="1:19" ht="15.75" x14ac:dyDescent="0.25">
      <c r="A124" s="22">
        <f>+A123+1</f>
        <v>2</v>
      </c>
      <c r="B124" s="22" t="s">
        <v>250</v>
      </c>
      <c r="C124" s="13" t="s">
        <v>251</v>
      </c>
      <c r="D124" s="14">
        <v>45473</v>
      </c>
      <c r="E124" s="15">
        <v>131.74799999999999</v>
      </c>
      <c r="F124" s="16">
        <v>10</v>
      </c>
      <c r="G124" s="17">
        <f t="shared" ref="G124:G160" si="37">+E124/F124</f>
        <v>13.174799999999999</v>
      </c>
      <c r="H124" s="15">
        <v>267.34100000000001</v>
      </c>
      <c r="I124" s="15">
        <v>726.51400000000001</v>
      </c>
      <c r="J124" s="15">
        <v>1809.8510000000001</v>
      </c>
      <c r="K124" s="15">
        <v>1.0629999999999999</v>
      </c>
      <c r="L124" s="15">
        <v>182.73500000000001</v>
      </c>
      <c r="M124" s="17">
        <f t="shared" ref="M124:M160" si="38">+L124-N124</f>
        <v>68.02200000000002</v>
      </c>
      <c r="N124" s="15">
        <v>114.71299999999999</v>
      </c>
      <c r="O124" s="18">
        <v>0</v>
      </c>
      <c r="P124" s="18">
        <v>0</v>
      </c>
      <c r="Q124" s="19">
        <f t="shared" ref="Q124" si="39">SUM(O124:P124)</f>
        <v>0</v>
      </c>
      <c r="R124" s="18"/>
      <c r="S124" s="20">
        <v>1685</v>
      </c>
    </row>
    <row r="125" spans="1:19" ht="15.75" x14ac:dyDescent="0.25">
      <c r="A125" s="22">
        <f t="shared" ref="A125:A160" si="40">+A124+1</f>
        <v>3</v>
      </c>
      <c r="B125" s="22" t="s">
        <v>252</v>
      </c>
      <c r="C125" s="13" t="s">
        <v>253</v>
      </c>
      <c r="D125" s="14">
        <v>45473</v>
      </c>
      <c r="E125" s="15">
        <v>151.77000000000001</v>
      </c>
      <c r="F125" s="16">
        <v>10</v>
      </c>
      <c r="G125" s="17">
        <f t="shared" si="37"/>
        <v>15.177000000000001</v>
      </c>
      <c r="H125" s="15">
        <v>329.69790899999998</v>
      </c>
      <c r="I125" s="15">
        <v>1087.622809</v>
      </c>
      <c r="J125" s="15">
        <v>1812.6895950000001</v>
      </c>
      <c r="K125" s="15">
        <v>0.101868</v>
      </c>
      <c r="L125" s="15">
        <v>-62.689366</v>
      </c>
      <c r="M125" s="17">
        <f t="shared" si="38"/>
        <v>-36.129047999999997</v>
      </c>
      <c r="N125" s="15">
        <v>-26.560317999999999</v>
      </c>
      <c r="O125" s="18">
        <v>0</v>
      </c>
      <c r="P125" s="18">
        <v>0</v>
      </c>
      <c r="Q125" s="19">
        <f t="shared" ref="Q125:Q160" si="41">SUM(O125:P125)</f>
        <v>0</v>
      </c>
      <c r="R125" s="18"/>
      <c r="S125" s="20">
        <v>1944</v>
      </c>
    </row>
    <row r="126" spans="1:19" ht="15.75" x14ac:dyDescent="0.25">
      <c r="A126" s="22">
        <f t="shared" si="40"/>
        <v>4</v>
      </c>
      <c r="B126" s="22" t="s">
        <v>254</v>
      </c>
      <c r="C126" s="13" t="s">
        <v>255</v>
      </c>
      <c r="D126" s="14">
        <v>45473</v>
      </c>
      <c r="E126" s="15">
        <v>8</v>
      </c>
      <c r="F126" s="16">
        <v>10</v>
      </c>
      <c r="G126" s="17">
        <f t="shared" si="37"/>
        <v>0.8</v>
      </c>
      <c r="H126" s="15">
        <v>1480.7237190000001</v>
      </c>
      <c r="I126" s="15">
        <v>3580.4672489999998</v>
      </c>
      <c r="J126" s="15">
        <v>6118.2539559999996</v>
      </c>
      <c r="K126" s="15">
        <v>272.24930000000001</v>
      </c>
      <c r="L126" s="15">
        <v>-203.120835</v>
      </c>
      <c r="M126" s="17">
        <f t="shared" si="38"/>
        <v>41.895852999999988</v>
      </c>
      <c r="N126" s="15">
        <v>-245.01668799999999</v>
      </c>
      <c r="O126" s="18">
        <v>0</v>
      </c>
      <c r="P126" s="18">
        <v>0</v>
      </c>
      <c r="Q126" s="19">
        <f t="shared" si="41"/>
        <v>0</v>
      </c>
      <c r="R126" s="18">
        <v>25</v>
      </c>
      <c r="S126" s="20">
        <v>173</v>
      </c>
    </row>
    <row r="127" spans="1:19" ht="15.75" x14ac:dyDescent="0.25">
      <c r="A127" s="22">
        <f t="shared" si="40"/>
        <v>5</v>
      </c>
      <c r="B127" s="22" t="s">
        <v>256</v>
      </c>
      <c r="C127" s="13" t="s">
        <v>257</v>
      </c>
      <c r="D127" s="14">
        <v>45473</v>
      </c>
      <c r="E127" s="15">
        <v>141</v>
      </c>
      <c r="F127" s="16">
        <v>10</v>
      </c>
      <c r="G127" s="17">
        <f>+E127/F127</f>
        <v>14.1</v>
      </c>
      <c r="H127" s="15">
        <v>3.3124199999999999</v>
      </c>
      <c r="I127" s="15">
        <v>1020.930011</v>
      </c>
      <c r="J127" s="15">
        <v>0</v>
      </c>
      <c r="K127" s="15">
        <v>0</v>
      </c>
      <c r="L127" s="15">
        <v>-20.180288000000001</v>
      </c>
      <c r="M127" s="17">
        <f>+L127-N127</f>
        <v>0</v>
      </c>
      <c r="N127" s="15">
        <v>-20.180288000000001</v>
      </c>
      <c r="O127" s="18">
        <v>0</v>
      </c>
      <c r="P127" s="18">
        <v>0</v>
      </c>
      <c r="Q127" s="19">
        <f>SUM(O127:P127)</f>
        <v>0</v>
      </c>
      <c r="R127" s="18"/>
      <c r="S127" s="20"/>
    </row>
    <row r="128" spans="1:19" ht="15.75" x14ac:dyDescent="0.25">
      <c r="A128" s="22">
        <f t="shared" si="40"/>
        <v>6</v>
      </c>
      <c r="B128" s="22" t="s">
        <v>258</v>
      </c>
      <c r="C128" s="13" t="s">
        <v>259</v>
      </c>
      <c r="D128" s="14">
        <v>45473</v>
      </c>
      <c r="E128" s="15">
        <v>226.60122999999999</v>
      </c>
      <c r="F128" s="16">
        <v>10</v>
      </c>
      <c r="G128" s="17">
        <f t="shared" si="37"/>
        <v>22.660122999999999</v>
      </c>
      <c r="H128" s="15">
        <v>5925.8069999999998</v>
      </c>
      <c r="I128" s="15">
        <v>8288.5879999999997</v>
      </c>
      <c r="J128" s="15">
        <f>5962.592+1760.733</f>
        <v>7723.3249999999998</v>
      </c>
      <c r="K128" s="15">
        <f>83.688+43.594</f>
        <v>127.28200000000001</v>
      </c>
      <c r="L128" s="15">
        <f>87.748-27.376</f>
        <v>60.372</v>
      </c>
      <c r="M128" s="17">
        <f t="shared" si="38"/>
        <v>9.6929999999999978</v>
      </c>
      <c r="N128" s="15">
        <v>50.679000000000002</v>
      </c>
      <c r="O128" s="18">
        <v>0</v>
      </c>
      <c r="P128" s="18">
        <v>0</v>
      </c>
      <c r="Q128" s="19">
        <f t="shared" si="41"/>
        <v>0</v>
      </c>
      <c r="R128" s="18"/>
      <c r="S128" s="20">
        <v>1418</v>
      </c>
    </row>
    <row r="129" spans="1:19" ht="15.75" x14ac:dyDescent="0.25">
      <c r="A129" s="22">
        <f t="shared" si="40"/>
        <v>7</v>
      </c>
      <c r="B129" s="22" t="s">
        <v>260</v>
      </c>
      <c r="C129" s="13" t="s">
        <v>261</v>
      </c>
      <c r="D129" s="14">
        <v>45473</v>
      </c>
      <c r="E129" s="15">
        <v>124.17876</v>
      </c>
      <c r="F129" s="16">
        <v>10</v>
      </c>
      <c r="G129" s="17">
        <f t="shared" si="37"/>
        <v>12.417876</v>
      </c>
      <c r="H129" s="15">
        <v>3953.4119780000001</v>
      </c>
      <c r="I129" s="15">
        <v>6803.9949379999998</v>
      </c>
      <c r="J129" s="15">
        <v>6499.8394040000003</v>
      </c>
      <c r="K129" s="15">
        <v>272.59607299999999</v>
      </c>
      <c r="L129" s="15">
        <v>-796.78232100000002</v>
      </c>
      <c r="M129" s="17">
        <f t="shared" si="38"/>
        <v>-38.347518000000036</v>
      </c>
      <c r="N129" s="15">
        <v>-758.43480299999999</v>
      </c>
      <c r="O129" s="18">
        <v>0</v>
      </c>
      <c r="P129" s="18">
        <v>0</v>
      </c>
      <c r="Q129" s="19">
        <f t="shared" si="41"/>
        <v>0</v>
      </c>
      <c r="R129" s="18"/>
      <c r="S129" s="20">
        <v>1417</v>
      </c>
    </row>
    <row r="130" spans="1:19" ht="15.75" x14ac:dyDescent="0.25">
      <c r="A130" s="22">
        <f t="shared" si="40"/>
        <v>8</v>
      </c>
      <c r="B130" s="22" t="s">
        <v>262</v>
      </c>
      <c r="C130" s="13" t="s">
        <v>263</v>
      </c>
      <c r="D130" s="14">
        <v>45473</v>
      </c>
      <c r="E130" s="15">
        <v>4980.1000000000004</v>
      </c>
      <c r="F130" s="16">
        <v>10</v>
      </c>
      <c r="G130" s="17">
        <f t="shared" si="37"/>
        <v>498.01000000000005</v>
      </c>
      <c r="H130" s="15">
        <v>7349.9139999999998</v>
      </c>
      <c r="I130" s="15">
        <v>28947.236000000001</v>
      </c>
      <c r="J130" s="15">
        <v>16764.027999999998</v>
      </c>
      <c r="K130" s="15">
        <v>1554.808</v>
      </c>
      <c r="L130" s="15">
        <v>-3427.6579999999999</v>
      </c>
      <c r="M130" s="17">
        <f t="shared" si="38"/>
        <v>213.54100000000017</v>
      </c>
      <c r="N130" s="15">
        <v>-3641.1990000000001</v>
      </c>
      <c r="O130" s="18">
        <v>0</v>
      </c>
      <c r="P130" s="18">
        <v>0</v>
      </c>
      <c r="Q130" s="19">
        <f t="shared" si="41"/>
        <v>0</v>
      </c>
      <c r="R130" s="18"/>
      <c r="S130" s="20">
        <v>2793</v>
      </c>
    </row>
    <row r="131" spans="1:19" ht="15.75" x14ac:dyDescent="0.25">
      <c r="A131" s="22">
        <f t="shared" si="40"/>
        <v>9</v>
      </c>
      <c r="B131" s="22" t="s">
        <v>264</v>
      </c>
      <c r="C131" s="13" t="s">
        <v>265</v>
      </c>
      <c r="D131" s="14">
        <v>45473</v>
      </c>
      <c r="E131" s="15">
        <v>977.50725999999997</v>
      </c>
      <c r="F131" s="16">
        <v>10</v>
      </c>
      <c r="G131" s="17">
        <f t="shared" si="37"/>
        <v>97.750726</v>
      </c>
      <c r="H131" s="15">
        <v>1146.727046</v>
      </c>
      <c r="I131" s="15">
        <v>3214.19551</v>
      </c>
      <c r="J131" s="15">
        <v>446.38012500000002</v>
      </c>
      <c r="K131" s="15">
        <v>0.267486</v>
      </c>
      <c r="L131" s="15">
        <v>-408.27172999999999</v>
      </c>
      <c r="M131" s="17">
        <f t="shared" si="38"/>
        <v>-25.212834999999984</v>
      </c>
      <c r="N131" s="15">
        <v>-383.05889500000001</v>
      </c>
      <c r="O131" s="18">
        <v>0</v>
      </c>
      <c r="P131" s="18">
        <v>0</v>
      </c>
      <c r="Q131" s="19">
        <f t="shared" si="41"/>
        <v>0</v>
      </c>
      <c r="R131" s="18"/>
      <c r="S131" s="20">
        <v>2152</v>
      </c>
    </row>
    <row r="132" spans="1:19" ht="15.75" x14ac:dyDescent="0.25">
      <c r="A132" s="22">
        <f t="shared" si="40"/>
        <v>10</v>
      </c>
      <c r="B132" s="22" t="s">
        <v>266</v>
      </c>
      <c r="C132" s="13" t="s">
        <v>267</v>
      </c>
      <c r="D132" s="14">
        <v>45473</v>
      </c>
      <c r="E132" s="15">
        <v>524.66749000000004</v>
      </c>
      <c r="F132" s="16">
        <v>10</v>
      </c>
      <c r="G132" s="17">
        <f t="shared" si="37"/>
        <v>52.466749000000007</v>
      </c>
      <c r="H132" s="15">
        <v>7751.9469090000002</v>
      </c>
      <c r="I132" s="15">
        <f>15878.046465+18858.322508</f>
        <v>34736.368973000004</v>
      </c>
      <c r="J132" s="15">
        <v>39608.139408000003</v>
      </c>
      <c r="K132" s="15">
        <v>3984.7047280000002</v>
      </c>
      <c r="L132" s="15">
        <v>-2765.3238139999999</v>
      </c>
      <c r="M132" s="17">
        <f t="shared" si="38"/>
        <v>3.174612000000252</v>
      </c>
      <c r="N132" s="15">
        <v>-2768.4984260000001</v>
      </c>
      <c r="O132" s="18">
        <v>0</v>
      </c>
      <c r="P132" s="18">
        <v>0</v>
      </c>
      <c r="Q132" s="19">
        <f t="shared" si="41"/>
        <v>0</v>
      </c>
      <c r="R132" s="18"/>
      <c r="S132" s="20">
        <v>854</v>
      </c>
    </row>
    <row r="133" spans="1:19" ht="15.75" x14ac:dyDescent="0.25">
      <c r="A133" s="22">
        <f t="shared" si="40"/>
        <v>11</v>
      </c>
      <c r="B133" s="22" t="s">
        <v>268</v>
      </c>
      <c r="C133" s="13" t="s">
        <v>269</v>
      </c>
      <c r="D133" s="14">
        <v>45473</v>
      </c>
      <c r="E133" s="15">
        <v>836.85631000000001</v>
      </c>
      <c r="F133" s="16">
        <v>10</v>
      </c>
      <c r="G133" s="17">
        <f t="shared" si="37"/>
        <v>83.685631000000001</v>
      </c>
      <c r="H133" s="15">
        <v>183.791451</v>
      </c>
      <c r="I133" s="15">
        <v>291.56544400000001</v>
      </c>
      <c r="J133" s="15">
        <v>29.165908999999999</v>
      </c>
      <c r="K133" s="15">
        <v>0.376994</v>
      </c>
      <c r="L133" s="15">
        <v>1.582727</v>
      </c>
      <c r="M133" s="17">
        <f t="shared" si="38"/>
        <v>5.0387269999999997</v>
      </c>
      <c r="N133" s="15">
        <v>-3.456</v>
      </c>
      <c r="O133" s="18">
        <v>0</v>
      </c>
      <c r="P133" s="18">
        <v>0</v>
      </c>
      <c r="Q133" s="19">
        <f t="shared" si="41"/>
        <v>0</v>
      </c>
      <c r="R133" s="18"/>
      <c r="S133" s="20">
        <v>1589</v>
      </c>
    </row>
    <row r="134" spans="1:19" ht="15.75" x14ac:dyDescent="0.25">
      <c r="A134" s="22">
        <f t="shared" si="40"/>
        <v>12</v>
      </c>
      <c r="B134" s="22" t="s">
        <v>270</v>
      </c>
      <c r="C134" s="21" t="s">
        <v>271</v>
      </c>
      <c r="D134" s="14">
        <v>45473</v>
      </c>
      <c r="E134" s="15"/>
      <c r="F134" s="16">
        <v>10</v>
      </c>
      <c r="G134" s="17">
        <f>+E134/F134</f>
        <v>0</v>
      </c>
      <c r="H134" s="15"/>
      <c r="I134" s="15"/>
      <c r="J134" s="15"/>
      <c r="K134" s="15"/>
      <c r="L134" s="15"/>
      <c r="M134" s="17">
        <f>+L134-N134</f>
        <v>0</v>
      </c>
      <c r="N134" s="15"/>
      <c r="O134" s="18"/>
      <c r="P134" s="18"/>
      <c r="Q134" s="19">
        <f>SUM(O134:P134)</f>
        <v>0</v>
      </c>
      <c r="R134" s="18"/>
      <c r="S134" s="20"/>
    </row>
    <row r="135" spans="1:19" ht="15.75" x14ac:dyDescent="0.25">
      <c r="A135" s="22">
        <f t="shared" si="40"/>
        <v>13</v>
      </c>
      <c r="B135" s="22" t="s">
        <v>272</v>
      </c>
      <c r="C135" s="13" t="s">
        <v>273</v>
      </c>
      <c r="D135" s="14">
        <v>45473</v>
      </c>
      <c r="E135" s="15">
        <v>13</v>
      </c>
      <c r="F135" s="16">
        <v>10</v>
      </c>
      <c r="G135" s="17">
        <f t="shared" si="37"/>
        <v>1.3</v>
      </c>
      <c r="H135" s="15">
        <v>84.488425000000007</v>
      </c>
      <c r="I135" s="15">
        <v>259.290797</v>
      </c>
      <c r="J135" s="15">
        <v>960.65814499999999</v>
      </c>
      <c r="K135" s="15">
        <v>0.432139</v>
      </c>
      <c r="L135" s="15">
        <v>-26.716183000000001</v>
      </c>
      <c r="M135" s="17">
        <f t="shared" si="38"/>
        <v>-0.9764620000000015</v>
      </c>
      <c r="N135" s="15">
        <v>-25.739720999999999</v>
      </c>
      <c r="O135" s="18">
        <v>0</v>
      </c>
      <c r="P135" s="18">
        <v>0</v>
      </c>
      <c r="Q135" s="19">
        <f t="shared" si="41"/>
        <v>0</v>
      </c>
      <c r="R135" s="18"/>
      <c r="S135" s="20">
        <v>137</v>
      </c>
    </row>
    <row r="136" spans="1:19" ht="15.75" x14ac:dyDescent="0.25">
      <c r="A136" s="22">
        <f t="shared" si="40"/>
        <v>14</v>
      </c>
      <c r="B136" s="22" t="s">
        <v>274</v>
      </c>
      <c r="C136" s="13" t="s">
        <v>275</v>
      </c>
      <c r="D136" s="14">
        <v>45473</v>
      </c>
      <c r="E136" s="15">
        <v>109.5</v>
      </c>
      <c r="F136" s="16">
        <v>10</v>
      </c>
      <c r="G136" s="17">
        <f t="shared" si="37"/>
        <v>10.95</v>
      </c>
      <c r="H136" s="15">
        <v>4211.3319179999999</v>
      </c>
      <c r="I136" s="15">
        <v>10267.681672000001</v>
      </c>
      <c r="J136" s="15">
        <v>15510.705255000001</v>
      </c>
      <c r="K136" s="15">
        <v>480.92898100000002</v>
      </c>
      <c r="L136" s="15">
        <v>152.44387499999999</v>
      </c>
      <c r="M136" s="17">
        <f t="shared" si="38"/>
        <v>-0.53604400000000396</v>
      </c>
      <c r="N136" s="15">
        <v>152.979919</v>
      </c>
      <c r="O136" s="18">
        <v>50</v>
      </c>
      <c r="P136" s="18">
        <v>0</v>
      </c>
      <c r="Q136" s="19">
        <f t="shared" si="41"/>
        <v>50</v>
      </c>
      <c r="R136" s="18"/>
      <c r="S136" s="20">
        <v>479</v>
      </c>
    </row>
    <row r="137" spans="1:19" ht="15.75" x14ac:dyDescent="0.25">
      <c r="A137" s="22">
        <f t="shared" si="40"/>
        <v>15</v>
      </c>
      <c r="B137" s="22" t="s">
        <v>276</v>
      </c>
      <c r="C137" s="13" t="s">
        <v>277</v>
      </c>
      <c r="D137" s="14">
        <v>45473</v>
      </c>
      <c r="E137" s="15">
        <v>280.29583000000002</v>
      </c>
      <c r="F137" s="16">
        <v>10</v>
      </c>
      <c r="G137" s="17">
        <f t="shared" si="37"/>
        <v>28.029583000000002</v>
      </c>
      <c r="H137" s="15">
        <v>21498.297999999999</v>
      </c>
      <c r="I137" s="15">
        <v>61831.813999999998</v>
      </c>
      <c r="J137" s="15">
        <v>72723.982000000004</v>
      </c>
      <c r="K137" s="15">
        <v>3974.22</v>
      </c>
      <c r="L137" s="15">
        <v>316.43299999999999</v>
      </c>
      <c r="M137" s="17">
        <f t="shared" si="38"/>
        <v>-478.11500000000001</v>
      </c>
      <c r="N137" s="15">
        <v>794.548</v>
      </c>
      <c r="O137" s="18">
        <v>0</v>
      </c>
      <c r="P137" s="18">
        <v>0</v>
      </c>
      <c r="Q137" s="19">
        <f t="shared" si="41"/>
        <v>0</v>
      </c>
      <c r="R137" s="18"/>
      <c r="S137" s="20">
        <v>2065</v>
      </c>
    </row>
    <row r="138" spans="1:19" ht="15.75" x14ac:dyDescent="0.25">
      <c r="A138" s="22">
        <f t="shared" si="40"/>
        <v>16</v>
      </c>
      <c r="B138" s="22" t="s">
        <v>278</v>
      </c>
      <c r="C138" s="13" t="s">
        <v>279</v>
      </c>
      <c r="D138" s="14">
        <v>45473</v>
      </c>
      <c r="E138" s="15">
        <v>198.52799999999999</v>
      </c>
      <c r="F138" s="16">
        <v>10</v>
      </c>
      <c r="G138" s="17">
        <f t="shared" si="37"/>
        <v>19.852799999999998</v>
      </c>
      <c r="H138" s="15">
        <v>2503.7068300000001</v>
      </c>
      <c r="I138" s="15">
        <v>7038.8939609999998</v>
      </c>
      <c r="J138" s="15">
        <v>6449.7605350000003</v>
      </c>
      <c r="K138" s="15">
        <v>579.71359900000004</v>
      </c>
      <c r="L138" s="15">
        <v>-220.149541</v>
      </c>
      <c r="M138" s="17">
        <f t="shared" si="38"/>
        <v>-25.760625000000005</v>
      </c>
      <c r="N138" s="15">
        <v>-194.38891599999999</v>
      </c>
      <c r="O138" s="18">
        <v>0</v>
      </c>
      <c r="P138" s="18">
        <v>0</v>
      </c>
      <c r="Q138" s="19">
        <f t="shared" si="41"/>
        <v>0</v>
      </c>
      <c r="R138" s="18"/>
      <c r="S138" s="20">
        <v>1406</v>
      </c>
    </row>
    <row r="139" spans="1:19" ht="15.75" x14ac:dyDescent="0.25">
      <c r="A139" s="22">
        <f t="shared" si="40"/>
        <v>17</v>
      </c>
      <c r="B139" s="22" t="s">
        <v>280</v>
      </c>
      <c r="C139" s="13" t="s">
        <v>281</v>
      </c>
      <c r="D139" s="14">
        <v>45473</v>
      </c>
      <c r="E139" s="15">
        <v>99.2</v>
      </c>
      <c r="F139" s="16">
        <v>10</v>
      </c>
      <c r="G139" s="17">
        <f t="shared" si="37"/>
        <v>9.92</v>
      </c>
      <c r="H139" s="15">
        <v>606.52499999999998</v>
      </c>
      <c r="I139" s="15">
        <v>3280.7829999999999</v>
      </c>
      <c r="J139" s="15">
        <v>5559.4629999999997</v>
      </c>
      <c r="K139" s="15">
        <v>179.559</v>
      </c>
      <c r="L139" s="15">
        <v>-426.392</v>
      </c>
      <c r="M139" s="17">
        <f t="shared" si="38"/>
        <v>-104.15199999999999</v>
      </c>
      <c r="N139" s="15">
        <v>-322.24</v>
      </c>
      <c r="O139" s="18">
        <v>0</v>
      </c>
      <c r="P139" s="18">
        <v>0</v>
      </c>
      <c r="Q139" s="19">
        <f t="shared" si="41"/>
        <v>0</v>
      </c>
      <c r="R139" s="18"/>
      <c r="S139" s="20">
        <v>1324</v>
      </c>
    </row>
    <row r="140" spans="1:19" ht="15.75" x14ac:dyDescent="0.25">
      <c r="A140" s="22">
        <f t="shared" si="40"/>
        <v>18</v>
      </c>
      <c r="B140" s="22" t="s">
        <v>282</v>
      </c>
      <c r="C140" s="13" t="s">
        <v>283</v>
      </c>
      <c r="D140" s="14">
        <v>45473</v>
      </c>
      <c r="E140" s="15">
        <v>542.21100000000001</v>
      </c>
      <c r="F140" s="16">
        <v>10</v>
      </c>
      <c r="G140" s="17">
        <f t="shared" si="37"/>
        <v>54.2211</v>
      </c>
      <c r="H140" s="15">
        <v>23849.175999999999</v>
      </c>
      <c r="I140" s="15">
        <v>43860.421000000002</v>
      </c>
      <c r="J140" s="15">
        <v>67707.784</v>
      </c>
      <c r="K140" s="15">
        <v>2563.5160000000001</v>
      </c>
      <c r="L140" s="15">
        <v>-416.39699999999999</v>
      </c>
      <c r="M140" s="17">
        <f t="shared" si="38"/>
        <v>-489.392</v>
      </c>
      <c r="N140" s="15">
        <v>72.995000000000005</v>
      </c>
      <c r="O140" s="18">
        <v>0</v>
      </c>
      <c r="P140" s="18">
        <v>0</v>
      </c>
      <c r="Q140" s="19">
        <f t="shared" si="41"/>
        <v>0</v>
      </c>
      <c r="R140" s="18"/>
      <c r="S140" s="20">
        <v>2099</v>
      </c>
    </row>
    <row r="141" spans="1:19" ht="15.75" x14ac:dyDescent="0.25">
      <c r="A141" s="22">
        <f t="shared" si="40"/>
        <v>19</v>
      </c>
      <c r="B141" s="22" t="s">
        <v>284</v>
      </c>
      <c r="C141" s="21" t="s">
        <v>285</v>
      </c>
      <c r="D141" s="14">
        <v>45473</v>
      </c>
      <c r="E141" s="24">
        <v>126.0116</v>
      </c>
      <c r="F141" s="25">
        <v>10</v>
      </c>
      <c r="G141" s="26">
        <f t="shared" si="37"/>
        <v>12.60116</v>
      </c>
      <c r="H141" s="24">
        <v>416.72009300000002</v>
      </c>
      <c r="I141" s="24">
        <v>736.32116599999995</v>
      </c>
      <c r="J141" s="24">
        <v>129.95374000000001</v>
      </c>
      <c r="K141" s="24">
        <v>29.984750999999999</v>
      </c>
      <c r="L141" s="24">
        <v>-74.954307</v>
      </c>
      <c r="M141" s="26">
        <f t="shared" si="38"/>
        <v>-14.123134999999998</v>
      </c>
      <c r="N141" s="24">
        <v>-60.831172000000002</v>
      </c>
      <c r="O141" s="27">
        <v>0</v>
      </c>
      <c r="P141" s="27">
        <v>0</v>
      </c>
      <c r="Q141" s="28">
        <f t="shared" si="41"/>
        <v>0</v>
      </c>
      <c r="R141" s="27"/>
      <c r="S141" s="29"/>
    </row>
    <row r="142" spans="1:19" ht="15.75" x14ac:dyDescent="0.25">
      <c r="A142" s="22">
        <f t="shared" si="40"/>
        <v>20</v>
      </c>
      <c r="B142" s="22" t="s">
        <v>286</v>
      </c>
      <c r="C142" s="13" t="s">
        <v>287</v>
      </c>
      <c r="D142" s="14">
        <v>45473</v>
      </c>
      <c r="E142" s="15">
        <v>69.15822</v>
      </c>
      <c r="F142" s="16">
        <v>10</v>
      </c>
      <c r="G142" s="17">
        <f t="shared" si="37"/>
        <v>6.9158220000000004</v>
      </c>
      <c r="H142" s="15">
        <v>6036.0339999999997</v>
      </c>
      <c r="I142" s="15">
        <v>8873.741</v>
      </c>
      <c r="J142" s="15">
        <v>5884.7120000000004</v>
      </c>
      <c r="K142" s="15">
        <v>357.75099999999998</v>
      </c>
      <c r="L142" s="15">
        <v>-610.30999999999995</v>
      </c>
      <c r="M142" s="17">
        <f t="shared" si="38"/>
        <v>-142.72599999999994</v>
      </c>
      <c r="N142" s="15">
        <v>-467.584</v>
      </c>
      <c r="O142" s="18">
        <v>0</v>
      </c>
      <c r="P142" s="18">
        <v>0</v>
      </c>
      <c r="Q142" s="19">
        <f t="shared" si="41"/>
        <v>0</v>
      </c>
      <c r="R142" s="18"/>
      <c r="S142" s="20">
        <v>2672</v>
      </c>
    </row>
    <row r="143" spans="1:19" ht="15.75" x14ac:dyDescent="0.25">
      <c r="A143" s="22">
        <f t="shared" si="40"/>
        <v>21</v>
      </c>
      <c r="B143" s="22" t="s">
        <v>288</v>
      </c>
      <c r="C143" s="13" t="s">
        <v>289</v>
      </c>
      <c r="D143" s="14">
        <v>45473</v>
      </c>
      <c r="E143" s="15">
        <v>1023.17502</v>
      </c>
      <c r="F143" s="16">
        <v>10</v>
      </c>
      <c r="G143" s="17">
        <f t="shared" si="37"/>
        <v>102.317502</v>
      </c>
      <c r="H143" s="15">
        <v>13494.981</v>
      </c>
      <c r="I143" s="15">
        <v>30565.010999999999</v>
      </c>
      <c r="J143" s="15">
        <v>41816.394999999997</v>
      </c>
      <c r="K143" s="15">
        <v>2407.2359999999999</v>
      </c>
      <c r="L143" s="15">
        <v>1006.511</v>
      </c>
      <c r="M143" s="17">
        <f t="shared" si="38"/>
        <v>0</v>
      </c>
      <c r="N143" s="15">
        <v>1006.511</v>
      </c>
      <c r="O143" s="18">
        <v>0</v>
      </c>
      <c r="P143" s="18">
        <v>0</v>
      </c>
      <c r="Q143" s="19">
        <f t="shared" si="41"/>
        <v>0</v>
      </c>
      <c r="R143" s="18"/>
      <c r="S143" s="20">
        <v>272</v>
      </c>
    </row>
    <row r="144" spans="1:19" ht="15.75" x14ac:dyDescent="0.25">
      <c r="A144" s="22">
        <f t="shared" si="40"/>
        <v>22</v>
      </c>
      <c r="B144" s="22" t="s">
        <v>290</v>
      </c>
      <c r="C144" s="21" t="s">
        <v>291</v>
      </c>
      <c r="D144" s="14">
        <v>45473</v>
      </c>
      <c r="E144" s="24">
        <v>208</v>
      </c>
      <c r="F144" s="25">
        <v>10</v>
      </c>
      <c r="G144" s="26">
        <f t="shared" si="37"/>
        <v>20.8</v>
      </c>
      <c r="H144" s="24">
        <v>3910.444</v>
      </c>
      <c r="I144" s="24">
        <v>8315.1630000000005</v>
      </c>
      <c r="J144" s="24">
        <v>7964.1419999999998</v>
      </c>
      <c r="K144" s="24">
        <v>599.71600000000001</v>
      </c>
      <c r="L144" s="24">
        <v>224.803</v>
      </c>
      <c r="M144" s="26">
        <f t="shared" si="38"/>
        <v>10.686000000000007</v>
      </c>
      <c r="N144" s="24">
        <v>214.11699999999999</v>
      </c>
      <c r="O144" s="27">
        <v>10</v>
      </c>
      <c r="P144" s="27">
        <v>0</v>
      </c>
      <c r="Q144" s="28">
        <f t="shared" si="41"/>
        <v>10</v>
      </c>
      <c r="R144" s="27"/>
      <c r="S144" s="29">
        <v>780</v>
      </c>
    </row>
    <row r="145" spans="1:19" ht="15.75" x14ac:dyDescent="0.25">
      <c r="A145" s="22">
        <f t="shared" si="40"/>
        <v>23</v>
      </c>
      <c r="B145" s="22" t="s">
        <v>292</v>
      </c>
      <c r="C145" s="13" t="s">
        <v>293</v>
      </c>
      <c r="D145" s="14">
        <v>45473</v>
      </c>
      <c r="E145" s="15">
        <v>2060.5339250000002</v>
      </c>
      <c r="F145" s="16">
        <v>5</v>
      </c>
      <c r="G145" s="17">
        <f t="shared" si="37"/>
        <v>412.10678500000006</v>
      </c>
      <c r="H145" s="15">
        <v>562.75926000000004</v>
      </c>
      <c r="I145" s="15">
        <v>4250.9656699999996</v>
      </c>
      <c r="J145" s="15">
        <v>0</v>
      </c>
      <c r="K145" s="15">
        <v>23.269608000000002</v>
      </c>
      <c r="L145" s="15">
        <v>-378.46898199999998</v>
      </c>
      <c r="M145" s="17">
        <f t="shared" si="38"/>
        <v>-3.8165759999999977</v>
      </c>
      <c r="N145" s="15">
        <v>-374.65240599999998</v>
      </c>
      <c r="O145" s="18">
        <v>0</v>
      </c>
      <c r="P145" s="18">
        <v>0</v>
      </c>
      <c r="Q145" s="19">
        <f t="shared" si="41"/>
        <v>0</v>
      </c>
      <c r="R145" s="18"/>
      <c r="S145" s="20">
        <v>5668</v>
      </c>
    </row>
    <row r="146" spans="1:19" ht="15.75" x14ac:dyDescent="0.25">
      <c r="A146" s="22">
        <f t="shared" si="40"/>
        <v>24</v>
      </c>
      <c r="B146" s="22" t="s">
        <v>294</v>
      </c>
      <c r="C146" s="13" t="s">
        <v>295</v>
      </c>
      <c r="D146" s="14">
        <v>45473</v>
      </c>
      <c r="E146" s="15">
        <v>184.32</v>
      </c>
      <c r="F146" s="16">
        <v>10</v>
      </c>
      <c r="G146" s="17">
        <f t="shared" si="37"/>
        <v>18.431999999999999</v>
      </c>
      <c r="H146" s="15"/>
      <c r="I146" s="15"/>
      <c r="J146" s="15"/>
      <c r="K146" s="15"/>
      <c r="L146" s="15">
        <v>-704.60599999999999</v>
      </c>
      <c r="M146" s="17">
        <f t="shared" si="38"/>
        <v>-6.1889999999999645</v>
      </c>
      <c r="N146" s="15">
        <v>-698.41700000000003</v>
      </c>
      <c r="O146" s="18">
        <v>0</v>
      </c>
      <c r="P146" s="18">
        <v>0</v>
      </c>
      <c r="Q146" s="19">
        <f t="shared" si="41"/>
        <v>0</v>
      </c>
      <c r="R146" s="18"/>
      <c r="S146" s="20"/>
    </row>
    <row r="147" spans="1:19" ht="15.75" x14ac:dyDescent="0.25">
      <c r="A147" s="22">
        <f t="shared" si="40"/>
        <v>25</v>
      </c>
      <c r="B147" s="22" t="s">
        <v>296</v>
      </c>
      <c r="C147" s="13" t="s">
        <v>297</v>
      </c>
      <c r="D147" s="14">
        <v>45473</v>
      </c>
      <c r="E147" s="15">
        <v>187</v>
      </c>
      <c r="F147" s="16">
        <v>10</v>
      </c>
      <c r="G147" s="17">
        <f t="shared" si="37"/>
        <v>18.7</v>
      </c>
      <c r="H147" s="15">
        <v>4728.3688229999998</v>
      </c>
      <c r="I147" s="15">
        <v>12730.251657000001</v>
      </c>
      <c r="J147" s="15">
        <v>20448.120236999999</v>
      </c>
      <c r="K147" s="15">
        <v>850.55276700000002</v>
      </c>
      <c r="L147" s="15">
        <v>77.024987999999993</v>
      </c>
      <c r="M147" s="17">
        <f t="shared" si="38"/>
        <v>0</v>
      </c>
      <c r="N147" s="15">
        <v>77.024987999999993</v>
      </c>
      <c r="O147" s="18">
        <v>15</v>
      </c>
      <c r="P147" s="18">
        <v>0</v>
      </c>
      <c r="Q147" s="19">
        <f t="shared" si="41"/>
        <v>15</v>
      </c>
      <c r="R147" s="18"/>
      <c r="S147" s="20">
        <v>927</v>
      </c>
    </row>
    <row r="148" spans="1:19" ht="15.75" x14ac:dyDescent="0.25">
      <c r="A148" s="22">
        <f t="shared" si="40"/>
        <v>26</v>
      </c>
      <c r="B148" s="22" t="s">
        <v>298</v>
      </c>
      <c r="C148" s="13" t="s">
        <v>299</v>
      </c>
      <c r="D148" s="14">
        <v>45473</v>
      </c>
      <c r="E148" s="15">
        <v>212.66735</v>
      </c>
      <c r="F148" s="16">
        <v>10</v>
      </c>
      <c r="G148" s="17">
        <f t="shared" si="37"/>
        <v>21.266735000000001</v>
      </c>
      <c r="H148" s="15">
        <v>2699.5295919999999</v>
      </c>
      <c r="I148" s="15">
        <v>7529.8720999999996</v>
      </c>
      <c r="J148" s="15">
        <v>11391.093507</v>
      </c>
      <c r="K148" s="15">
        <v>676.49892499999999</v>
      </c>
      <c r="L148" s="15">
        <v>-1041.0155460000001</v>
      </c>
      <c r="M148" s="17">
        <f t="shared" si="38"/>
        <v>-79.234852000000046</v>
      </c>
      <c r="N148" s="15">
        <v>-961.78069400000004</v>
      </c>
      <c r="O148" s="18">
        <v>0</v>
      </c>
      <c r="P148" s="18">
        <v>0</v>
      </c>
      <c r="Q148" s="19">
        <f t="shared" si="41"/>
        <v>0</v>
      </c>
      <c r="R148" s="18"/>
      <c r="S148" s="20">
        <v>41</v>
      </c>
    </row>
    <row r="149" spans="1:19" ht="15.75" x14ac:dyDescent="0.25">
      <c r="A149" s="22">
        <f t="shared" si="40"/>
        <v>27</v>
      </c>
      <c r="B149" s="22" t="s">
        <v>300</v>
      </c>
      <c r="C149" s="21" t="s">
        <v>301</v>
      </c>
      <c r="D149" s="14">
        <v>45473</v>
      </c>
      <c r="E149" s="15">
        <v>120</v>
      </c>
      <c r="F149" s="16">
        <v>10</v>
      </c>
      <c r="G149" s="17">
        <f t="shared" si="37"/>
        <v>12</v>
      </c>
      <c r="H149" s="15">
        <v>38.507950000000001</v>
      </c>
      <c r="I149" s="15">
        <v>709.86337600000002</v>
      </c>
      <c r="J149" s="15">
        <v>121.88473</v>
      </c>
      <c r="K149" s="15">
        <v>5.9545079999999997</v>
      </c>
      <c r="L149" s="15">
        <v>38.168016999999999</v>
      </c>
      <c r="M149" s="17">
        <f t="shared" si="38"/>
        <v>18.441022</v>
      </c>
      <c r="N149" s="15">
        <v>19.726994999999999</v>
      </c>
      <c r="O149" s="18">
        <v>0</v>
      </c>
      <c r="P149" s="18">
        <v>0</v>
      </c>
      <c r="Q149" s="19">
        <f t="shared" si="41"/>
        <v>0</v>
      </c>
      <c r="R149" s="18"/>
      <c r="S149" s="20">
        <v>364</v>
      </c>
    </row>
    <row r="150" spans="1:19" ht="15.75" x14ac:dyDescent="0.25">
      <c r="A150" s="22">
        <f t="shared" si="40"/>
        <v>28</v>
      </c>
      <c r="B150" s="22" t="s">
        <v>302</v>
      </c>
      <c r="C150" s="13" t="s">
        <v>303</v>
      </c>
      <c r="D150" s="14">
        <v>45473</v>
      </c>
      <c r="E150" s="15">
        <v>61.63</v>
      </c>
      <c r="F150" s="16">
        <v>10</v>
      </c>
      <c r="G150" s="17">
        <f t="shared" si="37"/>
        <v>6.1630000000000003</v>
      </c>
      <c r="H150" s="15">
        <v>8491.7311250000002</v>
      </c>
      <c r="I150" s="15">
        <v>30539.757151000002</v>
      </c>
      <c r="J150" s="15">
        <v>27075.690885</v>
      </c>
      <c r="K150" s="15">
        <v>3071.0591680000002</v>
      </c>
      <c r="L150" s="15">
        <v>-512.230772</v>
      </c>
      <c r="M150" s="17">
        <f t="shared" si="38"/>
        <v>-70.936081999999999</v>
      </c>
      <c r="N150" s="15">
        <v>-441.29469</v>
      </c>
      <c r="O150" s="18">
        <v>0</v>
      </c>
      <c r="P150" s="18">
        <v>0</v>
      </c>
      <c r="Q150" s="19">
        <f t="shared" si="41"/>
        <v>0</v>
      </c>
      <c r="R150" s="18"/>
      <c r="S150" s="20">
        <v>788</v>
      </c>
    </row>
    <row r="151" spans="1:19" ht="15.75" x14ac:dyDescent="0.25">
      <c r="A151" s="22">
        <f t="shared" si="40"/>
        <v>29</v>
      </c>
      <c r="B151" s="22" t="s">
        <v>304</v>
      </c>
      <c r="C151" s="13" t="s">
        <v>305</v>
      </c>
      <c r="D151" s="14">
        <v>45473</v>
      </c>
      <c r="E151" s="15">
        <v>102.92</v>
      </c>
      <c r="F151" s="16">
        <v>10</v>
      </c>
      <c r="G151" s="17">
        <f t="shared" si="37"/>
        <v>10.292</v>
      </c>
      <c r="H151" s="15">
        <v>8170.0278600000001</v>
      </c>
      <c r="I151" s="15">
        <v>13197.522097999999</v>
      </c>
      <c r="J151" s="15">
        <v>14645.976382999999</v>
      </c>
      <c r="K151" s="15">
        <v>786.10860100000002</v>
      </c>
      <c r="L151" s="15">
        <v>1106.672352</v>
      </c>
      <c r="M151" s="17">
        <f t="shared" si="38"/>
        <v>-78.284038999999893</v>
      </c>
      <c r="N151" s="15">
        <v>1184.9563909999999</v>
      </c>
      <c r="O151" s="18">
        <v>40</v>
      </c>
      <c r="P151" s="18">
        <v>0</v>
      </c>
      <c r="Q151" s="19">
        <f t="shared" si="41"/>
        <v>40</v>
      </c>
      <c r="R151" s="18"/>
      <c r="S151" s="20">
        <v>474</v>
      </c>
    </row>
    <row r="152" spans="1:19" ht="15.75" x14ac:dyDescent="0.25">
      <c r="A152" s="22">
        <f t="shared" si="40"/>
        <v>30</v>
      </c>
      <c r="B152" s="22" t="s">
        <v>306</v>
      </c>
      <c r="C152" s="13" t="s">
        <v>307</v>
      </c>
      <c r="D152" s="14">
        <v>45473</v>
      </c>
      <c r="E152" s="15">
        <v>264.12900000000002</v>
      </c>
      <c r="F152" s="16">
        <v>10</v>
      </c>
      <c r="G152" s="17">
        <f t="shared" si="37"/>
        <v>26.4129</v>
      </c>
      <c r="H152" s="15">
        <v>4148.55</v>
      </c>
      <c r="I152" s="15">
        <v>14294.334999999999</v>
      </c>
      <c r="J152" s="15">
        <v>12248.662</v>
      </c>
      <c r="K152" s="15">
        <v>1639.7670000000001</v>
      </c>
      <c r="L152" s="15">
        <v>131.21199999999999</v>
      </c>
      <c r="M152" s="17">
        <f t="shared" si="38"/>
        <v>119.64599999999999</v>
      </c>
      <c r="N152" s="15">
        <v>11.566000000000001</v>
      </c>
      <c r="O152" s="18">
        <v>0</v>
      </c>
      <c r="P152" s="18">
        <v>0</v>
      </c>
      <c r="Q152" s="19">
        <f t="shared" si="41"/>
        <v>0</v>
      </c>
      <c r="R152" s="18"/>
      <c r="S152" s="20">
        <v>1405</v>
      </c>
    </row>
    <row r="153" spans="1:19" ht="15.75" x14ac:dyDescent="0.25">
      <c r="A153" s="22">
        <f t="shared" si="40"/>
        <v>31</v>
      </c>
      <c r="B153" s="22" t="s">
        <v>308</v>
      </c>
      <c r="C153" s="13" t="s">
        <v>309</v>
      </c>
      <c r="D153" s="14">
        <v>45473</v>
      </c>
      <c r="E153" s="15">
        <v>137.87567000000001</v>
      </c>
      <c r="F153" s="16">
        <v>10</v>
      </c>
      <c r="G153" s="17">
        <f t="shared" si="37"/>
        <v>13.787567000000001</v>
      </c>
      <c r="H153" s="15">
        <v>911.352124</v>
      </c>
      <c r="I153" s="15">
        <v>1469.906692</v>
      </c>
      <c r="J153" s="15">
        <v>1341.3175980000001</v>
      </c>
      <c r="K153" s="15">
        <v>12.262287000000001</v>
      </c>
      <c r="L153" s="15">
        <v>-109.485983</v>
      </c>
      <c r="M153" s="17">
        <f t="shared" si="38"/>
        <v>-8.8419560000000104</v>
      </c>
      <c r="N153" s="15">
        <v>-100.64402699999999</v>
      </c>
      <c r="O153" s="18">
        <v>0</v>
      </c>
      <c r="P153" s="18">
        <v>0</v>
      </c>
      <c r="Q153" s="19">
        <f t="shared" si="41"/>
        <v>0</v>
      </c>
      <c r="R153" s="18"/>
      <c r="S153" s="20">
        <v>1307</v>
      </c>
    </row>
    <row r="154" spans="1:19" ht="15.75" x14ac:dyDescent="0.25">
      <c r="A154" s="22">
        <f t="shared" si="40"/>
        <v>32</v>
      </c>
      <c r="B154" s="22" t="s">
        <v>310</v>
      </c>
      <c r="C154" s="13" t="s">
        <v>311</v>
      </c>
      <c r="D154" s="14">
        <v>45473</v>
      </c>
      <c r="E154" s="15">
        <v>176.36799999999999</v>
      </c>
      <c r="F154" s="16">
        <v>10</v>
      </c>
      <c r="G154" s="17">
        <f t="shared" si="37"/>
        <v>17.636800000000001</v>
      </c>
      <c r="H154" s="15"/>
      <c r="I154" s="15"/>
      <c r="J154" s="15"/>
      <c r="K154" s="15"/>
      <c r="L154" s="15">
        <v>-20.904</v>
      </c>
      <c r="M154" s="17">
        <f t="shared" si="38"/>
        <v>87.793999999999997</v>
      </c>
      <c r="N154" s="15">
        <v>-108.69799999999999</v>
      </c>
      <c r="O154" s="18">
        <v>0</v>
      </c>
      <c r="P154" s="18">
        <v>0</v>
      </c>
      <c r="Q154" s="19">
        <f t="shared" si="41"/>
        <v>0</v>
      </c>
      <c r="R154" s="18"/>
      <c r="S154" s="20"/>
    </row>
    <row r="155" spans="1:19" ht="15.75" x14ac:dyDescent="0.25">
      <c r="A155" s="22">
        <f t="shared" si="40"/>
        <v>33</v>
      </c>
      <c r="B155" s="22" t="s">
        <v>312</v>
      </c>
      <c r="C155" s="13" t="s">
        <v>313</v>
      </c>
      <c r="D155" s="14">
        <v>45473</v>
      </c>
      <c r="E155" s="15">
        <v>166</v>
      </c>
      <c r="F155" s="16">
        <v>10</v>
      </c>
      <c r="G155" s="17">
        <f t="shared" si="37"/>
        <v>16.600000000000001</v>
      </c>
      <c r="H155" s="15">
        <v>1612.3969999999999</v>
      </c>
      <c r="I155" s="15">
        <v>3089.0430000000001</v>
      </c>
      <c r="J155" s="15">
        <v>7280.768</v>
      </c>
      <c r="K155" s="15">
        <v>133.911</v>
      </c>
      <c r="L155" s="15">
        <v>56.936</v>
      </c>
      <c r="M155" s="17">
        <f t="shared" si="38"/>
        <v>-41.529999999999994</v>
      </c>
      <c r="N155" s="15">
        <v>98.465999999999994</v>
      </c>
      <c r="O155" s="18">
        <v>7.5</v>
      </c>
      <c r="P155" s="18">
        <v>0</v>
      </c>
      <c r="Q155" s="19">
        <f t="shared" si="41"/>
        <v>7.5</v>
      </c>
      <c r="R155" s="18"/>
      <c r="S155" s="20">
        <v>456</v>
      </c>
    </row>
    <row r="156" spans="1:19" ht="15.75" x14ac:dyDescent="0.25">
      <c r="A156" s="22">
        <f t="shared" si="40"/>
        <v>34</v>
      </c>
      <c r="B156" s="22" t="s">
        <v>314</v>
      </c>
      <c r="C156" s="13" t="s">
        <v>315</v>
      </c>
      <c r="D156" s="14">
        <v>45473</v>
      </c>
      <c r="E156" s="15">
        <v>199.65</v>
      </c>
      <c r="F156" s="16">
        <v>10</v>
      </c>
      <c r="G156" s="17">
        <f t="shared" si="37"/>
        <v>19.965</v>
      </c>
      <c r="H156" s="15">
        <v>673.86704599999996</v>
      </c>
      <c r="I156" s="15">
        <v>2576.3878450000002</v>
      </c>
      <c r="J156" s="15">
        <v>3804.1893970000001</v>
      </c>
      <c r="K156" s="15">
        <v>249.98648800000001</v>
      </c>
      <c r="L156" s="15">
        <v>-144.81226599999999</v>
      </c>
      <c r="M156" s="17">
        <f t="shared" si="38"/>
        <v>-69.318099999999987</v>
      </c>
      <c r="N156" s="15">
        <v>-75.494166000000007</v>
      </c>
      <c r="O156" s="18">
        <v>0</v>
      </c>
      <c r="P156" s="18">
        <v>0</v>
      </c>
      <c r="Q156" s="19">
        <f t="shared" si="41"/>
        <v>0</v>
      </c>
      <c r="R156" s="18"/>
      <c r="S156" s="20">
        <v>558</v>
      </c>
    </row>
    <row r="157" spans="1:19" ht="15.75" x14ac:dyDescent="0.25">
      <c r="A157" s="22">
        <f t="shared" si="40"/>
        <v>35</v>
      </c>
      <c r="B157" s="22" t="s">
        <v>316</v>
      </c>
      <c r="C157" s="13" t="s">
        <v>317</v>
      </c>
      <c r="D157" s="14">
        <v>45473</v>
      </c>
      <c r="E157" s="15">
        <v>298.40607</v>
      </c>
      <c r="F157" s="16">
        <v>10</v>
      </c>
      <c r="G157" s="17">
        <f t="shared" si="37"/>
        <v>29.840606999999999</v>
      </c>
      <c r="H157" s="15">
        <v>256.69052799999997</v>
      </c>
      <c r="I157" s="15">
        <v>1346.978959</v>
      </c>
      <c r="J157" s="15">
        <v>2222.8777829999999</v>
      </c>
      <c r="K157" s="15">
        <v>77.925151</v>
      </c>
      <c r="L157" s="15">
        <v>-308.69993199999999</v>
      </c>
      <c r="M157" s="17">
        <f t="shared" si="38"/>
        <v>0</v>
      </c>
      <c r="N157" s="15">
        <v>-308.69993199999999</v>
      </c>
      <c r="O157" s="18">
        <v>0</v>
      </c>
      <c r="P157" s="18">
        <v>0</v>
      </c>
      <c r="Q157" s="19">
        <f t="shared" si="41"/>
        <v>0</v>
      </c>
      <c r="R157" s="18"/>
      <c r="S157" s="20">
        <v>983</v>
      </c>
    </row>
    <row r="158" spans="1:19" ht="15.75" x14ac:dyDescent="0.25">
      <c r="A158" s="22">
        <f t="shared" si="40"/>
        <v>36</v>
      </c>
      <c r="B158" s="22" t="s">
        <v>318</v>
      </c>
      <c r="C158" s="13" t="s">
        <v>319</v>
      </c>
      <c r="D158" s="14">
        <v>45473</v>
      </c>
      <c r="E158" s="15">
        <v>207</v>
      </c>
      <c r="F158" s="16">
        <v>10</v>
      </c>
      <c r="G158" s="17">
        <f t="shared" si="37"/>
        <v>20.7</v>
      </c>
      <c r="H158" s="15">
        <v>8203.426727</v>
      </c>
      <c r="I158" s="15">
        <v>15415.372936</v>
      </c>
      <c r="J158" s="15">
        <v>20148.888456000001</v>
      </c>
      <c r="K158" s="15">
        <v>1023.046345</v>
      </c>
      <c r="L158" s="15">
        <v>229.37562700000001</v>
      </c>
      <c r="M158" s="17">
        <f t="shared" si="38"/>
        <v>52.181844000000012</v>
      </c>
      <c r="N158" s="15">
        <v>177.193783</v>
      </c>
      <c r="O158" s="18">
        <v>0</v>
      </c>
      <c r="P158" s="18">
        <v>0</v>
      </c>
      <c r="Q158" s="19">
        <f t="shared" si="41"/>
        <v>0</v>
      </c>
      <c r="R158" s="18"/>
      <c r="S158" s="20">
        <v>1907</v>
      </c>
    </row>
    <row r="159" spans="1:19" ht="15.75" x14ac:dyDescent="0.25">
      <c r="A159" s="22">
        <f t="shared" si="40"/>
        <v>37</v>
      </c>
      <c r="B159" s="22" t="s">
        <v>320</v>
      </c>
      <c r="C159" s="13" t="s">
        <v>321</v>
      </c>
      <c r="D159" s="14">
        <v>45473</v>
      </c>
      <c r="E159" s="15">
        <v>179.71372</v>
      </c>
      <c r="F159" s="16">
        <v>10</v>
      </c>
      <c r="G159" s="17">
        <f t="shared" si="37"/>
        <v>17.971371999999999</v>
      </c>
      <c r="H159" s="15">
        <v>3326.627755</v>
      </c>
      <c r="I159" s="15">
        <v>5869.9373939999996</v>
      </c>
      <c r="J159" s="15">
        <v>11014.646483</v>
      </c>
      <c r="K159" s="15">
        <v>192.537238</v>
      </c>
      <c r="L159" s="15">
        <v>-52.468297999999997</v>
      </c>
      <c r="M159" s="17">
        <f t="shared" si="38"/>
        <v>46.314680000000003</v>
      </c>
      <c r="N159" s="15">
        <v>-98.782978</v>
      </c>
      <c r="O159" s="18">
        <v>0</v>
      </c>
      <c r="P159" s="18">
        <v>0</v>
      </c>
      <c r="Q159" s="19">
        <f t="shared" si="41"/>
        <v>0</v>
      </c>
      <c r="R159" s="18"/>
      <c r="S159" s="20">
        <v>789</v>
      </c>
    </row>
    <row r="160" spans="1:19" ht="15.75" x14ac:dyDescent="0.25">
      <c r="A160" s="22">
        <f t="shared" si="40"/>
        <v>38</v>
      </c>
      <c r="B160" s="22" t="s">
        <v>322</v>
      </c>
      <c r="C160" s="13" t="s">
        <v>323</v>
      </c>
      <c r="D160" s="14">
        <v>45473</v>
      </c>
      <c r="E160" s="15">
        <v>559.93614000000002</v>
      </c>
      <c r="F160" s="16">
        <v>10</v>
      </c>
      <c r="G160" s="17">
        <f t="shared" si="37"/>
        <v>55.993614000000001</v>
      </c>
      <c r="H160" s="15">
        <v>20932.714</v>
      </c>
      <c r="I160" s="15">
        <v>44394.156000000003</v>
      </c>
      <c r="J160" s="15">
        <v>45823.7</v>
      </c>
      <c r="K160" s="15">
        <v>4497.41</v>
      </c>
      <c r="L160" s="15">
        <v>-458.87200000000001</v>
      </c>
      <c r="M160" s="17">
        <f t="shared" si="38"/>
        <v>95.03899999999993</v>
      </c>
      <c r="N160" s="15">
        <v>-553.91099999999994</v>
      </c>
      <c r="O160" s="18">
        <v>0</v>
      </c>
      <c r="P160" s="18">
        <v>0</v>
      </c>
      <c r="Q160" s="19">
        <f t="shared" si="41"/>
        <v>0</v>
      </c>
      <c r="R160" s="18"/>
      <c r="S160" s="20">
        <v>3599</v>
      </c>
    </row>
    <row r="161" spans="1:19" ht="15.75" x14ac:dyDescent="0.25">
      <c r="A161" s="22">
        <v>1</v>
      </c>
      <c r="B161" s="22" t="s">
        <v>324</v>
      </c>
      <c r="C161" s="13" t="s">
        <v>325</v>
      </c>
      <c r="D161" s="14">
        <v>45473</v>
      </c>
      <c r="E161" s="15"/>
      <c r="F161" s="16">
        <v>10</v>
      </c>
      <c r="G161" s="17">
        <f t="shared" ref="G161:G184" si="42">+E161/F161</f>
        <v>0</v>
      </c>
      <c r="H161" s="15"/>
      <c r="I161" s="15"/>
      <c r="J161" s="15"/>
      <c r="K161" s="15"/>
      <c r="L161" s="15"/>
      <c r="M161" s="17">
        <f t="shared" ref="M161:M184" si="43">+L161-N161</f>
        <v>0</v>
      </c>
      <c r="N161" s="15"/>
      <c r="O161" s="18"/>
      <c r="P161" s="18"/>
      <c r="Q161" s="19">
        <f t="shared" ref="Q161:Q184" si="44">SUM(O161:P161)</f>
        <v>0</v>
      </c>
      <c r="R161" s="18"/>
      <c r="S161" s="20"/>
    </row>
    <row r="162" spans="1:19" ht="15.75" x14ac:dyDescent="0.25">
      <c r="A162" s="22">
        <f>+A161+1</f>
        <v>2</v>
      </c>
      <c r="B162" s="22" t="s">
        <v>326</v>
      </c>
      <c r="C162" s="13" t="s">
        <v>327</v>
      </c>
      <c r="D162" s="14">
        <v>45473</v>
      </c>
      <c r="E162" s="15">
        <v>2594.30134</v>
      </c>
      <c r="F162" s="16">
        <v>10</v>
      </c>
      <c r="G162" s="17">
        <f t="shared" si="42"/>
        <v>259.43013400000001</v>
      </c>
      <c r="H162" s="15">
        <v>-8544.1920420000006</v>
      </c>
      <c r="I162" s="15">
        <v>3684.6057340000002</v>
      </c>
      <c r="J162" s="15">
        <v>2793.1032949999999</v>
      </c>
      <c r="K162" s="15">
        <v>157.43147500000001</v>
      </c>
      <c r="L162" s="15">
        <v>95.014123999999995</v>
      </c>
      <c r="M162" s="17">
        <f t="shared" si="43"/>
        <v>3.403576000000001</v>
      </c>
      <c r="N162" s="15">
        <v>91.610547999999994</v>
      </c>
      <c r="O162" s="18">
        <v>0</v>
      </c>
      <c r="P162" s="18">
        <v>0</v>
      </c>
      <c r="Q162" s="19">
        <f t="shared" si="44"/>
        <v>0</v>
      </c>
      <c r="R162" s="18"/>
      <c r="S162" s="20">
        <v>3102</v>
      </c>
    </row>
    <row r="163" spans="1:19" ht="15.75" x14ac:dyDescent="0.25">
      <c r="A163" s="22">
        <f t="shared" ref="A163:A184" si="45">+A162+1</f>
        <v>3</v>
      </c>
      <c r="B163" s="22" t="s">
        <v>328</v>
      </c>
      <c r="C163" s="13" t="s">
        <v>329</v>
      </c>
      <c r="D163" s="14">
        <v>45473</v>
      </c>
      <c r="E163" s="15"/>
      <c r="F163" s="16">
        <v>5</v>
      </c>
      <c r="G163" s="17">
        <f t="shared" si="42"/>
        <v>0</v>
      </c>
      <c r="H163" s="15"/>
      <c r="I163" s="15"/>
      <c r="J163" s="15"/>
      <c r="K163" s="15"/>
      <c r="L163" s="15"/>
      <c r="M163" s="17">
        <f t="shared" si="43"/>
        <v>0</v>
      </c>
      <c r="N163" s="15"/>
      <c r="O163" s="18"/>
      <c r="P163" s="18"/>
      <c r="Q163" s="19">
        <f t="shared" si="44"/>
        <v>0</v>
      </c>
      <c r="R163" s="18"/>
      <c r="S163" s="20"/>
    </row>
    <row r="164" spans="1:19" ht="15.75" x14ac:dyDescent="0.25">
      <c r="A164" s="22">
        <f t="shared" si="45"/>
        <v>4</v>
      </c>
      <c r="B164" s="22" t="s">
        <v>330</v>
      </c>
      <c r="C164" s="13" t="s">
        <v>331</v>
      </c>
      <c r="D164" s="14">
        <v>45473</v>
      </c>
      <c r="E164" s="15"/>
      <c r="F164" s="16">
        <v>10</v>
      </c>
      <c r="G164" s="17">
        <f t="shared" si="42"/>
        <v>0</v>
      </c>
      <c r="H164" s="15"/>
      <c r="I164" s="15"/>
      <c r="J164" s="15"/>
      <c r="K164" s="15"/>
      <c r="L164" s="15"/>
      <c r="M164" s="17">
        <f t="shared" si="43"/>
        <v>0</v>
      </c>
      <c r="N164" s="15"/>
      <c r="O164" s="18"/>
      <c r="P164" s="18"/>
      <c r="Q164" s="19">
        <f t="shared" si="44"/>
        <v>0</v>
      </c>
      <c r="R164" s="18"/>
      <c r="S164" s="20"/>
    </row>
    <row r="165" spans="1:19" ht="15.75" x14ac:dyDescent="0.25">
      <c r="A165" s="22">
        <f t="shared" si="45"/>
        <v>5</v>
      </c>
      <c r="B165" s="22" t="s">
        <v>332</v>
      </c>
      <c r="C165" s="13" t="s">
        <v>333</v>
      </c>
      <c r="D165" s="14">
        <v>45565</v>
      </c>
      <c r="E165" s="15"/>
      <c r="F165" s="16">
        <v>10</v>
      </c>
      <c r="G165" s="17">
        <f t="shared" si="42"/>
        <v>0</v>
      </c>
      <c r="H165" s="15"/>
      <c r="I165" s="15"/>
      <c r="J165" s="15"/>
      <c r="K165" s="15"/>
      <c r="L165" s="15"/>
      <c r="M165" s="17">
        <f t="shared" si="43"/>
        <v>0</v>
      </c>
      <c r="N165" s="15"/>
      <c r="O165" s="18"/>
      <c r="P165" s="18"/>
      <c r="Q165" s="19">
        <f t="shared" si="44"/>
        <v>0</v>
      </c>
      <c r="R165" s="18"/>
      <c r="S165" s="20"/>
    </row>
    <row r="166" spans="1:19" ht="15.75" x14ac:dyDescent="0.25">
      <c r="A166" s="22">
        <f t="shared" si="45"/>
        <v>6</v>
      </c>
      <c r="B166" s="22" t="s">
        <v>334</v>
      </c>
      <c r="C166" s="21" t="s">
        <v>335</v>
      </c>
      <c r="D166" s="14">
        <v>45473</v>
      </c>
      <c r="E166" s="15"/>
      <c r="F166" s="16">
        <v>5</v>
      </c>
      <c r="G166" s="17">
        <f t="shared" si="42"/>
        <v>0</v>
      </c>
      <c r="H166" s="15"/>
      <c r="I166" s="15"/>
      <c r="J166" s="15"/>
      <c r="K166" s="15"/>
      <c r="L166" s="15"/>
      <c r="M166" s="17">
        <f t="shared" si="43"/>
        <v>0</v>
      </c>
      <c r="N166" s="15"/>
      <c r="O166" s="18"/>
      <c r="P166" s="18"/>
      <c r="Q166" s="19">
        <f t="shared" si="44"/>
        <v>0</v>
      </c>
      <c r="R166" s="18"/>
      <c r="S166" s="20"/>
    </row>
    <row r="167" spans="1:19" ht="15.75" x14ac:dyDescent="0.25">
      <c r="A167" s="22">
        <f t="shared" si="45"/>
        <v>7</v>
      </c>
      <c r="B167" s="22" t="s">
        <v>336</v>
      </c>
      <c r="C167" s="13" t="s">
        <v>337</v>
      </c>
      <c r="D167" s="14">
        <v>45473</v>
      </c>
      <c r="E167" s="15"/>
      <c r="F167" s="16">
        <v>10</v>
      </c>
      <c r="G167" s="17">
        <f t="shared" si="42"/>
        <v>0</v>
      </c>
      <c r="H167" s="15"/>
      <c r="I167" s="15"/>
      <c r="J167" s="15"/>
      <c r="K167" s="15"/>
      <c r="L167" s="15"/>
      <c r="M167" s="17">
        <f t="shared" si="43"/>
        <v>0</v>
      </c>
      <c r="N167" s="15"/>
      <c r="O167" s="18"/>
      <c r="P167" s="18"/>
      <c r="Q167" s="19">
        <f t="shared" si="44"/>
        <v>0</v>
      </c>
      <c r="R167" s="18"/>
      <c r="S167" s="20"/>
    </row>
    <row r="168" spans="1:19" ht="15.75" x14ac:dyDescent="0.25">
      <c r="A168" s="22">
        <f t="shared" si="45"/>
        <v>8</v>
      </c>
      <c r="B168" s="22" t="s">
        <v>338</v>
      </c>
      <c r="C168" s="13" t="s">
        <v>339</v>
      </c>
      <c r="D168" s="14">
        <v>45473</v>
      </c>
      <c r="E168" s="15"/>
      <c r="F168" s="16">
        <v>10</v>
      </c>
      <c r="G168" s="17">
        <f t="shared" si="42"/>
        <v>0</v>
      </c>
      <c r="H168" s="15"/>
      <c r="I168" s="15"/>
      <c r="J168" s="15"/>
      <c r="K168" s="15"/>
      <c r="L168" s="15"/>
      <c r="M168" s="17">
        <f t="shared" si="43"/>
        <v>0</v>
      </c>
      <c r="N168" s="15"/>
      <c r="O168" s="18"/>
      <c r="P168" s="18"/>
      <c r="Q168" s="19">
        <f t="shared" si="44"/>
        <v>0</v>
      </c>
      <c r="R168" s="18"/>
      <c r="S168" s="20"/>
    </row>
    <row r="169" spans="1:19" ht="15.75" x14ac:dyDescent="0.25">
      <c r="A169" s="22">
        <f t="shared" si="45"/>
        <v>9</v>
      </c>
      <c r="B169" s="22" t="s">
        <v>340</v>
      </c>
      <c r="C169" s="21" t="s">
        <v>341</v>
      </c>
      <c r="D169" s="14">
        <v>45473</v>
      </c>
      <c r="E169" s="15">
        <v>30.524000000000001</v>
      </c>
      <c r="F169" s="16">
        <v>10</v>
      </c>
      <c r="G169" s="17">
        <f t="shared" si="42"/>
        <v>3.0524</v>
      </c>
      <c r="H169" s="15">
        <v>662.83044800000005</v>
      </c>
      <c r="I169" s="15">
        <v>786.31872599999997</v>
      </c>
      <c r="J169" s="15">
        <v>0</v>
      </c>
      <c r="K169" s="15">
        <v>6.0770999999999999E-2</v>
      </c>
      <c r="L169" s="15">
        <v>14.939451</v>
      </c>
      <c r="M169" s="17">
        <f t="shared" si="43"/>
        <v>8.5893000000000441E-2</v>
      </c>
      <c r="N169" s="15">
        <v>14.853558</v>
      </c>
      <c r="O169" s="18">
        <v>0</v>
      </c>
      <c r="P169" s="18">
        <v>0</v>
      </c>
      <c r="Q169" s="19">
        <f t="shared" si="44"/>
        <v>0</v>
      </c>
      <c r="R169" s="18"/>
      <c r="S169" s="20">
        <v>337</v>
      </c>
    </row>
    <row r="170" spans="1:19" ht="15.75" x14ac:dyDescent="0.25">
      <c r="A170" s="22">
        <f t="shared" si="45"/>
        <v>10</v>
      </c>
      <c r="B170" s="22" t="s">
        <v>342</v>
      </c>
      <c r="C170" s="13" t="s">
        <v>343</v>
      </c>
      <c r="D170" s="14">
        <v>45473</v>
      </c>
      <c r="E170" s="15">
        <v>460.64609000000002</v>
      </c>
      <c r="F170" s="16">
        <v>10</v>
      </c>
      <c r="G170" s="17">
        <f t="shared" si="42"/>
        <v>46.064609000000004</v>
      </c>
      <c r="H170" s="15">
        <v>-2739.2911340000001</v>
      </c>
      <c r="I170" s="15">
        <v>3341.1097629999999</v>
      </c>
      <c r="J170" s="15">
        <v>0</v>
      </c>
      <c r="K170" s="15">
        <v>26.133268000000001</v>
      </c>
      <c r="L170" s="15">
        <v>-161.32890599999999</v>
      </c>
      <c r="M170" s="17">
        <f t="shared" si="43"/>
        <v>-26.077413999999976</v>
      </c>
      <c r="N170" s="15">
        <v>-135.25149200000001</v>
      </c>
      <c r="O170" s="18">
        <v>0</v>
      </c>
      <c r="P170" s="18">
        <v>0</v>
      </c>
      <c r="Q170" s="19">
        <f t="shared" si="44"/>
        <v>0</v>
      </c>
      <c r="R170" s="18"/>
      <c r="S170" s="20">
        <v>320</v>
      </c>
    </row>
    <row r="171" spans="1:19" ht="15.75" x14ac:dyDescent="0.25">
      <c r="A171" s="22">
        <f t="shared" si="45"/>
        <v>11</v>
      </c>
      <c r="B171" s="22" t="s">
        <v>344</v>
      </c>
      <c r="C171" s="13" t="s">
        <v>345</v>
      </c>
      <c r="D171" s="14">
        <v>45473</v>
      </c>
      <c r="E171" s="15"/>
      <c r="F171" s="16">
        <v>10</v>
      </c>
      <c r="G171" s="17">
        <f t="shared" si="42"/>
        <v>0</v>
      </c>
      <c r="H171" s="15"/>
      <c r="I171" s="15"/>
      <c r="J171" s="15"/>
      <c r="K171" s="15"/>
      <c r="L171" s="15"/>
      <c r="M171" s="17">
        <f t="shared" si="43"/>
        <v>0</v>
      </c>
      <c r="N171" s="15"/>
      <c r="O171" s="18"/>
      <c r="P171" s="18"/>
      <c r="Q171" s="19">
        <f t="shared" si="44"/>
        <v>0</v>
      </c>
      <c r="R171" s="18"/>
      <c r="S171" s="20"/>
    </row>
    <row r="172" spans="1:19" ht="15.75" x14ac:dyDescent="0.25">
      <c r="A172" s="22">
        <f t="shared" si="45"/>
        <v>12</v>
      </c>
      <c r="B172" s="22" t="s">
        <v>346</v>
      </c>
      <c r="C172" s="13" t="s">
        <v>347</v>
      </c>
      <c r="D172" s="14">
        <v>45473</v>
      </c>
      <c r="E172" s="15"/>
      <c r="F172" s="16">
        <v>10</v>
      </c>
      <c r="G172" s="17">
        <f t="shared" si="42"/>
        <v>0</v>
      </c>
      <c r="H172" s="15"/>
      <c r="I172" s="15"/>
      <c r="J172" s="15"/>
      <c r="K172" s="15"/>
      <c r="L172" s="15"/>
      <c r="M172" s="17">
        <f t="shared" si="43"/>
        <v>0</v>
      </c>
      <c r="N172" s="15"/>
      <c r="O172" s="18"/>
      <c r="P172" s="18"/>
      <c r="Q172" s="19">
        <f t="shared" si="44"/>
        <v>0</v>
      </c>
      <c r="R172" s="18"/>
      <c r="S172" s="20"/>
    </row>
    <row r="173" spans="1:19" ht="15.75" x14ac:dyDescent="0.25">
      <c r="A173" s="22">
        <f t="shared" si="45"/>
        <v>13</v>
      </c>
      <c r="B173" s="22" t="s">
        <v>348</v>
      </c>
      <c r="C173" s="13" t="s">
        <v>349</v>
      </c>
      <c r="D173" s="14">
        <v>45473</v>
      </c>
      <c r="E173" s="15">
        <v>222.25038000000001</v>
      </c>
      <c r="F173" s="16">
        <v>10</v>
      </c>
      <c r="G173" s="17">
        <f t="shared" si="42"/>
        <v>22.225038000000001</v>
      </c>
      <c r="H173" s="15">
        <v>-2960.8047889999998</v>
      </c>
      <c r="I173" s="15">
        <v>200.946045</v>
      </c>
      <c r="J173" s="15">
        <v>0</v>
      </c>
      <c r="K173" s="15">
        <v>1.1769E-2</v>
      </c>
      <c r="L173" s="15">
        <v>-13.918817000000001</v>
      </c>
      <c r="M173" s="17">
        <f t="shared" si="43"/>
        <v>0</v>
      </c>
      <c r="N173" s="15">
        <v>-13.918817000000001</v>
      </c>
      <c r="O173" s="18">
        <v>0</v>
      </c>
      <c r="P173" s="18">
        <v>0</v>
      </c>
      <c r="Q173" s="19">
        <f t="shared" si="44"/>
        <v>0</v>
      </c>
      <c r="R173" s="18"/>
      <c r="S173" s="20">
        <v>3523</v>
      </c>
    </row>
    <row r="174" spans="1:19" ht="15.75" x14ac:dyDescent="0.25">
      <c r="A174" s="22">
        <f t="shared" si="45"/>
        <v>14</v>
      </c>
      <c r="B174" s="22" t="s">
        <v>350</v>
      </c>
      <c r="C174" s="13" t="s">
        <v>351</v>
      </c>
      <c r="D174" s="14">
        <v>45473</v>
      </c>
      <c r="E174" s="15">
        <v>146.41</v>
      </c>
      <c r="F174" s="16">
        <v>10</v>
      </c>
      <c r="G174" s="17">
        <f t="shared" si="42"/>
        <v>14.641</v>
      </c>
      <c r="H174" s="15">
        <v>-1681.1995420000001</v>
      </c>
      <c r="I174" s="15">
        <v>62.799563999999997</v>
      </c>
      <c r="J174" s="15">
        <v>0</v>
      </c>
      <c r="K174" s="15">
        <v>1.098E-3</v>
      </c>
      <c r="L174" s="15">
        <v>-186.24759900000001</v>
      </c>
      <c r="M174" s="17">
        <f t="shared" si="43"/>
        <v>0</v>
      </c>
      <c r="N174" s="15">
        <v>-186.24759900000001</v>
      </c>
      <c r="O174" s="18">
        <v>0</v>
      </c>
      <c r="P174" s="18">
        <v>0</v>
      </c>
      <c r="Q174" s="19">
        <f t="shared" si="44"/>
        <v>0</v>
      </c>
      <c r="R174" s="18"/>
      <c r="S174" s="20">
        <v>1755</v>
      </c>
    </row>
    <row r="175" spans="1:19" ht="15.75" x14ac:dyDescent="0.25">
      <c r="A175" s="22">
        <f t="shared" si="45"/>
        <v>15</v>
      </c>
      <c r="B175" s="22" t="s">
        <v>352</v>
      </c>
      <c r="C175" s="13" t="s">
        <v>353</v>
      </c>
      <c r="D175" s="14">
        <v>45473</v>
      </c>
      <c r="E175" s="15">
        <v>189.83899</v>
      </c>
      <c r="F175" s="16">
        <v>10</v>
      </c>
      <c r="G175" s="17">
        <f t="shared" si="42"/>
        <v>18.983899000000001</v>
      </c>
      <c r="H175" s="15">
        <v>-8355.3000100000008</v>
      </c>
      <c r="I175" s="15">
        <v>448.74374899999998</v>
      </c>
      <c r="J175" s="15">
        <v>0</v>
      </c>
      <c r="K175" s="15">
        <v>1.4782999999999999E-2</v>
      </c>
      <c r="L175" s="15">
        <v>735.25992299999996</v>
      </c>
      <c r="M175" s="17">
        <f t="shared" si="43"/>
        <v>0</v>
      </c>
      <c r="N175" s="15">
        <v>735.25992299999996</v>
      </c>
      <c r="O175" s="18">
        <v>0</v>
      </c>
      <c r="P175" s="18">
        <v>0</v>
      </c>
      <c r="Q175" s="19">
        <f t="shared" si="44"/>
        <v>0</v>
      </c>
      <c r="R175" s="18"/>
      <c r="S175" s="20">
        <v>1075</v>
      </c>
    </row>
    <row r="176" spans="1:19" ht="15.75" x14ac:dyDescent="0.25">
      <c r="A176" s="22">
        <f t="shared" si="45"/>
        <v>16</v>
      </c>
      <c r="B176" s="22" t="s">
        <v>354</v>
      </c>
      <c r="C176" s="21" t="s">
        <v>355</v>
      </c>
      <c r="D176" s="14">
        <v>45473</v>
      </c>
      <c r="E176" s="24"/>
      <c r="F176" s="25">
        <v>10</v>
      </c>
      <c r="G176" s="26">
        <f t="shared" si="42"/>
        <v>0</v>
      </c>
      <c r="H176" s="24"/>
      <c r="I176" s="24"/>
      <c r="J176" s="24"/>
      <c r="K176" s="24"/>
      <c r="L176" s="24"/>
      <c r="M176" s="26">
        <f t="shared" si="43"/>
        <v>0</v>
      </c>
      <c r="N176" s="24"/>
      <c r="O176" s="27"/>
      <c r="P176" s="27"/>
      <c r="Q176" s="28">
        <f t="shared" si="44"/>
        <v>0</v>
      </c>
      <c r="R176" s="27"/>
      <c r="S176" s="29"/>
    </row>
    <row r="177" spans="1:19" ht="15.75" x14ac:dyDescent="0.25">
      <c r="A177" s="22">
        <f t="shared" si="45"/>
        <v>17</v>
      </c>
      <c r="B177" s="22" t="s">
        <v>356</v>
      </c>
      <c r="C177" s="13" t="s">
        <v>357</v>
      </c>
      <c r="D177" s="14">
        <v>45473</v>
      </c>
      <c r="E177" s="15">
        <v>865.77919999999995</v>
      </c>
      <c r="F177" s="16">
        <v>10</v>
      </c>
      <c r="G177" s="17">
        <f t="shared" si="42"/>
        <v>86.577919999999992</v>
      </c>
      <c r="H177" s="15">
        <v>-296.15673700000002</v>
      </c>
      <c r="I177" s="15">
        <v>3101.6992690000002</v>
      </c>
      <c r="J177" s="15">
        <v>42.2</v>
      </c>
      <c r="K177" s="15">
        <v>117.73217200000001</v>
      </c>
      <c r="L177" s="15">
        <v>-353.68188199999997</v>
      </c>
      <c r="M177" s="17">
        <f t="shared" si="43"/>
        <v>12.563198</v>
      </c>
      <c r="N177" s="15">
        <v>-366.24507999999997</v>
      </c>
      <c r="O177" s="18">
        <v>0</v>
      </c>
      <c r="P177" s="18">
        <v>0</v>
      </c>
      <c r="Q177" s="19">
        <f t="shared" si="44"/>
        <v>0</v>
      </c>
      <c r="R177" s="18"/>
      <c r="S177" s="20">
        <v>1970</v>
      </c>
    </row>
    <row r="178" spans="1:19" ht="15.75" x14ac:dyDescent="0.25">
      <c r="A178" s="22">
        <f t="shared" si="45"/>
        <v>18</v>
      </c>
      <c r="B178" s="22" t="s">
        <v>358</v>
      </c>
      <c r="C178" s="13" t="s">
        <v>359</v>
      </c>
      <c r="D178" s="14">
        <v>45473</v>
      </c>
      <c r="E178" s="15">
        <v>119.7504</v>
      </c>
      <c r="F178" s="16">
        <v>10</v>
      </c>
      <c r="G178" s="17">
        <f t="shared" si="42"/>
        <v>11.97504</v>
      </c>
      <c r="H178" s="15">
        <v>4.513185</v>
      </c>
      <c r="I178" s="15">
        <v>10.070819999999999</v>
      </c>
      <c r="J178" s="15">
        <v>0</v>
      </c>
      <c r="K178" s="15">
        <v>3.2539999999999999E-3</v>
      </c>
      <c r="L178" s="15">
        <v>-5.3791279999999997</v>
      </c>
      <c r="M178" s="17">
        <f t="shared" si="43"/>
        <v>0</v>
      </c>
      <c r="N178" s="15">
        <v>-5.3791279999999997</v>
      </c>
      <c r="O178" s="18">
        <v>0</v>
      </c>
      <c r="P178" s="18">
        <v>0</v>
      </c>
      <c r="Q178" s="19">
        <f t="shared" si="44"/>
        <v>0</v>
      </c>
      <c r="R178" s="18"/>
      <c r="S178" s="20">
        <v>494</v>
      </c>
    </row>
    <row r="179" spans="1:19" ht="15.75" x14ac:dyDescent="0.25">
      <c r="A179" s="22">
        <f t="shared" si="45"/>
        <v>19</v>
      </c>
      <c r="B179" s="22" t="s">
        <v>360</v>
      </c>
      <c r="C179" s="13" t="s">
        <v>361</v>
      </c>
      <c r="D179" s="14">
        <v>45473</v>
      </c>
      <c r="E179" s="15"/>
      <c r="F179" s="16">
        <v>10</v>
      </c>
      <c r="G179" s="17">
        <f t="shared" si="42"/>
        <v>0</v>
      </c>
      <c r="H179" s="15"/>
      <c r="I179" s="15"/>
      <c r="J179" s="15"/>
      <c r="K179" s="15"/>
      <c r="L179" s="15"/>
      <c r="M179" s="17">
        <f t="shared" si="43"/>
        <v>0</v>
      </c>
      <c r="N179" s="15"/>
      <c r="O179" s="18"/>
      <c r="P179" s="18"/>
      <c r="Q179" s="19">
        <f t="shared" si="44"/>
        <v>0</v>
      </c>
      <c r="R179" s="18"/>
      <c r="S179" s="20"/>
    </row>
    <row r="180" spans="1:19" ht="15.75" x14ac:dyDescent="0.25">
      <c r="A180" s="22">
        <f t="shared" si="45"/>
        <v>20</v>
      </c>
      <c r="B180" s="22" t="s">
        <v>362</v>
      </c>
      <c r="C180" s="13" t="s">
        <v>363</v>
      </c>
      <c r="D180" s="14">
        <v>45473</v>
      </c>
      <c r="E180" s="15">
        <v>121.23699999999999</v>
      </c>
      <c r="F180" s="16">
        <v>10</v>
      </c>
      <c r="G180" s="17">
        <f t="shared" si="42"/>
        <v>12.123699999999999</v>
      </c>
      <c r="H180" s="15">
        <v>-133.79590200000001</v>
      </c>
      <c r="I180" s="15">
        <v>119.718727</v>
      </c>
      <c r="J180" s="15">
        <v>0</v>
      </c>
      <c r="K180" s="15">
        <v>0</v>
      </c>
      <c r="L180" s="15">
        <v>-13.787236999999999</v>
      </c>
      <c r="M180" s="17">
        <f t="shared" si="43"/>
        <v>-2.6091229999999985</v>
      </c>
      <c r="N180" s="15">
        <v>-11.178114000000001</v>
      </c>
      <c r="O180" s="18">
        <v>0</v>
      </c>
      <c r="P180" s="18">
        <v>0</v>
      </c>
      <c r="Q180" s="19">
        <f t="shared" si="44"/>
        <v>0</v>
      </c>
      <c r="R180" s="18"/>
      <c r="S180" s="20">
        <v>489</v>
      </c>
    </row>
    <row r="181" spans="1:19" ht="15.75" x14ac:dyDescent="0.25">
      <c r="A181" s="22">
        <f t="shared" si="45"/>
        <v>21</v>
      </c>
      <c r="B181" s="22" t="s">
        <v>364</v>
      </c>
      <c r="C181" s="13" t="s">
        <v>365</v>
      </c>
      <c r="D181" s="14">
        <v>45473</v>
      </c>
      <c r="E181" s="15">
        <v>230</v>
      </c>
      <c r="F181" s="16">
        <v>10</v>
      </c>
      <c r="G181" s="17">
        <f t="shared" si="42"/>
        <v>23</v>
      </c>
      <c r="H181" s="15">
        <v>139.06026499999999</v>
      </c>
      <c r="I181" s="15">
        <v>354.26553000000001</v>
      </c>
      <c r="J181" s="15">
        <v>7.5343600000000004</v>
      </c>
      <c r="K181" s="15">
        <v>4.1869999999999997E-3</v>
      </c>
      <c r="L181" s="15">
        <v>-15.845837</v>
      </c>
      <c r="M181" s="17">
        <f t="shared" si="43"/>
        <v>0.15274600000000049</v>
      </c>
      <c r="N181" s="15">
        <v>-15.998583</v>
      </c>
      <c r="O181" s="18">
        <v>0</v>
      </c>
      <c r="P181" s="18">
        <v>0</v>
      </c>
      <c r="Q181" s="19">
        <f t="shared" si="44"/>
        <v>0</v>
      </c>
      <c r="R181" s="18"/>
      <c r="S181" s="20">
        <v>770</v>
      </c>
    </row>
    <row r="182" spans="1:19" ht="15.75" x14ac:dyDescent="0.25">
      <c r="A182" s="22">
        <f t="shared" si="45"/>
        <v>22</v>
      </c>
      <c r="B182" s="22" t="s">
        <v>366</v>
      </c>
      <c r="C182" s="21" t="s">
        <v>367</v>
      </c>
      <c r="D182" s="14">
        <v>45473</v>
      </c>
      <c r="E182" s="15">
        <v>522.14400000000001</v>
      </c>
      <c r="F182" s="16">
        <v>10</v>
      </c>
      <c r="G182" s="17">
        <f t="shared" si="42"/>
        <v>52.214399999999998</v>
      </c>
      <c r="H182" s="15">
        <v>704.88866499999995</v>
      </c>
      <c r="I182" s="15">
        <v>930.275892</v>
      </c>
      <c r="J182" s="15">
        <v>0</v>
      </c>
      <c r="K182" s="15">
        <v>3.0660479999999999</v>
      </c>
      <c r="L182" s="15">
        <v>-54.146318000000001</v>
      </c>
      <c r="M182" s="17">
        <f t="shared" si="43"/>
        <v>-8.9013740000000041</v>
      </c>
      <c r="N182" s="15">
        <v>-45.244943999999997</v>
      </c>
      <c r="O182" s="18">
        <v>0</v>
      </c>
      <c r="P182" s="18">
        <v>0</v>
      </c>
      <c r="Q182" s="19">
        <f t="shared" si="44"/>
        <v>0</v>
      </c>
      <c r="R182" s="18"/>
      <c r="S182" s="20">
        <v>939</v>
      </c>
    </row>
    <row r="183" spans="1:19" ht="15.75" x14ac:dyDescent="0.25">
      <c r="A183" s="22">
        <f t="shared" si="45"/>
        <v>23</v>
      </c>
      <c r="B183" s="22" t="s">
        <v>368</v>
      </c>
      <c r="C183" s="13" t="s">
        <v>369</v>
      </c>
      <c r="D183" s="14">
        <v>45473</v>
      </c>
      <c r="E183" s="15">
        <v>44.670360000000002</v>
      </c>
      <c r="F183" s="16">
        <v>10</v>
      </c>
      <c r="G183" s="17">
        <f t="shared" si="42"/>
        <v>4.4670360000000002</v>
      </c>
      <c r="H183" s="15">
        <v>-458.92364099999998</v>
      </c>
      <c r="I183" s="15">
        <v>734.07484399999998</v>
      </c>
      <c r="J183" s="15">
        <v>0</v>
      </c>
      <c r="K183" s="15">
        <v>0</v>
      </c>
      <c r="L183" s="15">
        <v>-24.996381</v>
      </c>
      <c r="M183" s="17">
        <f t="shared" si="43"/>
        <v>0</v>
      </c>
      <c r="N183" s="15">
        <v>-24.996381</v>
      </c>
      <c r="O183" s="18">
        <v>0</v>
      </c>
      <c r="P183" s="18">
        <v>0</v>
      </c>
      <c r="Q183" s="19">
        <f t="shared" si="44"/>
        <v>0</v>
      </c>
      <c r="R183" s="18"/>
      <c r="S183" s="20">
        <v>761</v>
      </c>
    </row>
    <row r="184" spans="1:19" ht="15.75" x14ac:dyDescent="0.25">
      <c r="A184" s="22">
        <f t="shared" si="45"/>
        <v>24</v>
      </c>
      <c r="B184" s="22" t="s">
        <v>370</v>
      </c>
      <c r="C184" s="13" t="s">
        <v>371</v>
      </c>
      <c r="D184" s="14">
        <v>45473</v>
      </c>
      <c r="E184" s="15">
        <v>87.75</v>
      </c>
      <c r="F184" s="16">
        <v>10</v>
      </c>
      <c r="G184" s="17">
        <f t="shared" si="42"/>
        <v>8.7750000000000004</v>
      </c>
      <c r="H184" s="15">
        <v>-472.13423899999998</v>
      </c>
      <c r="I184" s="15">
        <v>1496.491968</v>
      </c>
      <c r="J184" s="15">
        <v>0</v>
      </c>
      <c r="K184" s="15">
        <v>0</v>
      </c>
      <c r="L184" s="15">
        <v>-204.11677399999999</v>
      </c>
      <c r="M184" s="17">
        <f t="shared" si="43"/>
        <v>-9.0013759999999934</v>
      </c>
      <c r="N184" s="15">
        <v>-195.115398</v>
      </c>
      <c r="O184" s="18">
        <v>0</v>
      </c>
      <c r="P184" s="18">
        <v>0</v>
      </c>
      <c r="Q184" s="19">
        <f t="shared" si="44"/>
        <v>0</v>
      </c>
      <c r="R184" s="18"/>
      <c r="S184" s="20">
        <v>1530</v>
      </c>
    </row>
    <row r="185" spans="1:19" ht="15.75" x14ac:dyDescent="0.25">
      <c r="A185" s="22">
        <v>1</v>
      </c>
      <c r="B185" s="22" t="s">
        <v>372</v>
      </c>
      <c r="C185" s="13" t="s">
        <v>373</v>
      </c>
      <c r="D185" s="14">
        <v>45473</v>
      </c>
      <c r="E185" s="15">
        <v>465.65035</v>
      </c>
      <c r="F185" s="16">
        <v>10</v>
      </c>
      <c r="G185" s="17">
        <f t="shared" ref="G185:G190" si="46">+E185/F185</f>
        <v>46.565035000000002</v>
      </c>
      <c r="H185" s="15">
        <v>987.66420500000004</v>
      </c>
      <c r="I185" s="15">
        <v>1264.228787</v>
      </c>
      <c r="J185" s="15">
        <v>456.65069499999998</v>
      </c>
      <c r="K185" s="15">
        <v>3.673E-3</v>
      </c>
      <c r="L185" s="15">
        <v>-75.719386</v>
      </c>
      <c r="M185" s="17">
        <f t="shared" ref="M185:M190" si="47">+L185-N185</f>
        <v>-17.867952000000002</v>
      </c>
      <c r="N185" s="15">
        <v>-57.851433999999998</v>
      </c>
      <c r="O185" s="18">
        <v>0</v>
      </c>
      <c r="P185" s="18">
        <v>0</v>
      </c>
      <c r="Q185" s="19">
        <f t="shared" ref="Q185:Q190" si="48">SUM(O185:P185)</f>
        <v>0</v>
      </c>
      <c r="R185" s="18"/>
      <c r="S185" s="20">
        <v>512</v>
      </c>
    </row>
    <row r="186" spans="1:19" ht="15.75" x14ac:dyDescent="0.25">
      <c r="A186" s="22">
        <f>+A185+1</f>
        <v>2</v>
      </c>
      <c r="B186" s="22" t="s">
        <v>374</v>
      </c>
      <c r="C186" s="13" t="s">
        <v>375</v>
      </c>
      <c r="D186" s="14">
        <v>45473</v>
      </c>
      <c r="E186" s="15">
        <v>300.01119999999997</v>
      </c>
      <c r="F186" s="16">
        <v>10</v>
      </c>
      <c r="G186" s="17">
        <f>+E186/F186</f>
        <v>30.001119999999997</v>
      </c>
      <c r="H186" s="15">
        <v>908.87784799999997</v>
      </c>
      <c r="I186" s="15">
        <v>1233.503271</v>
      </c>
      <c r="J186" s="15">
        <v>52.974017000000003</v>
      </c>
      <c r="K186" s="15">
        <v>0.13964599999999999</v>
      </c>
      <c r="L186" s="15">
        <v>-0.46448699999999998</v>
      </c>
      <c r="M186" s="17">
        <f>+L186-N186</f>
        <v>11.183536</v>
      </c>
      <c r="N186" s="15">
        <v>-11.648023</v>
      </c>
      <c r="O186" s="18">
        <v>0</v>
      </c>
      <c r="P186" s="18">
        <v>0</v>
      </c>
      <c r="Q186" s="19">
        <f>SUM(O186:P186)</f>
        <v>0</v>
      </c>
      <c r="R186" s="18"/>
      <c r="S186" s="20">
        <v>1527</v>
      </c>
    </row>
    <row r="187" spans="1:19" ht="15.75" x14ac:dyDescent="0.25">
      <c r="A187" s="22">
        <f t="shared" ref="A187:A190" si="49">+A186+1</f>
        <v>3</v>
      </c>
      <c r="B187" s="22" t="s">
        <v>376</v>
      </c>
      <c r="C187" s="13" t="s">
        <v>377</v>
      </c>
      <c r="D187" s="14">
        <v>45473</v>
      </c>
      <c r="E187" s="15">
        <v>184.8</v>
      </c>
      <c r="F187" s="16">
        <v>10</v>
      </c>
      <c r="G187" s="17">
        <f t="shared" si="46"/>
        <v>18.48</v>
      </c>
      <c r="H187" s="15">
        <v>2329.127966</v>
      </c>
      <c r="I187" s="15">
        <v>7191.9343580000004</v>
      </c>
      <c r="J187" s="15">
        <v>18745.627986</v>
      </c>
      <c r="K187" s="15">
        <v>408.80401899999998</v>
      </c>
      <c r="L187" s="15">
        <v>-6.9936829999999999</v>
      </c>
      <c r="M187" s="17">
        <f t="shared" si="47"/>
        <v>-93.64848400000001</v>
      </c>
      <c r="N187" s="15">
        <v>86.654801000000006</v>
      </c>
      <c r="O187" s="18">
        <v>25</v>
      </c>
      <c r="P187" s="18">
        <v>0</v>
      </c>
      <c r="Q187" s="19">
        <f t="shared" si="48"/>
        <v>25</v>
      </c>
      <c r="R187" s="18"/>
      <c r="S187" s="20">
        <v>547</v>
      </c>
    </row>
    <row r="188" spans="1:19" ht="15.75" x14ac:dyDescent="0.25">
      <c r="A188" s="22">
        <f t="shared" si="49"/>
        <v>4</v>
      </c>
      <c r="B188" s="22" t="s">
        <v>378</v>
      </c>
      <c r="C188" s="13" t="s">
        <v>379</v>
      </c>
      <c r="D188" s="14">
        <v>45473</v>
      </c>
      <c r="E188" s="15">
        <v>96.6</v>
      </c>
      <c r="F188" s="16">
        <v>10</v>
      </c>
      <c r="G188" s="17">
        <f t="shared" si="46"/>
        <v>9.66</v>
      </c>
      <c r="H188" s="15">
        <v>1792.242</v>
      </c>
      <c r="I188" s="15">
        <v>4450.67</v>
      </c>
      <c r="J188" s="15">
        <v>7953.4279999999999</v>
      </c>
      <c r="K188" s="15">
        <v>318.005</v>
      </c>
      <c r="L188" s="15">
        <v>-7.06</v>
      </c>
      <c r="M188" s="17">
        <f t="shared" si="47"/>
        <v>-34.252000000000002</v>
      </c>
      <c r="N188" s="15">
        <v>27.192</v>
      </c>
      <c r="O188" s="18">
        <v>10</v>
      </c>
      <c r="P188" s="18">
        <v>0</v>
      </c>
      <c r="Q188" s="19">
        <f t="shared" si="48"/>
        <v>10</v>
      </c>
      <c r="R188" s="18"/>
      <c r="S188" s="20">
        <v>1144</v>
      </c>
    </row>
    <row r="189" spans="1:19" ht="15.75" x14ac:dyDescent="0.25">
      <c r="A189" s="22">
        <f t="shared" si="49"/>
        <v>5</v>
      </c>
      <c r="B189" s="22" t="s">
        <v>380</v>
      </c>
      <c r="C189" s="13" t="s">
        <v>381</v>
      </c>
      <c r="D189" s="14">
        <v>45473</v>
      </c>
      <c r="E189" s="15">
        <v>1360</v>
      </c>
      <c r="F189" s="16">
        <v>10</v>
      </c>
      <c r="G189" s="17">
        <f>+E189/F189</f>
        <v>136</v>
      </c>
      <c r="H189" s="15">
        <v>498.513442</v>
      </c>
      <c r="I189" s="15">
        <v>1923.4655680000001</v>
      </c>
      <c r="J189" s="15">
        <v>527.64007000000004</v>
      </c>
      <c r="K189" s="15">
        <v>4.6400129999999997</v>
      </c>
      <c r="L189" s="15">
        <v>-49.205091000000003</v>
      </c>
      <c r="M189" s="17">
        <f>+L189-N189</f>
        <v>0</v>
      </c>
      <c r="N189" s="15">
        <v>-49.205091000000003</v>
      </c>
      <c r="O189" s="18">
        <v>0</v>
      </c>
      <c r="P189" s="18">
        <v>0</v>
      </c>
      <c r="Q189" s="19">
        <f>SUM(O189:P189)</f>
        <v>0</v>
      </c>
      <c r="R189" s="18"/>
      <c r="S189" s="20">
        <v>2944</v>
      </c>
    </row>
    <row r="190" spans="1:19" ht="15.75" x14ac:dyDescent="0.25">
      <c r="A190" s="22">
        <f t="shared" si="49"/>
        <v>6</v>
      </c>
      <c r="B190" s="22" t="s">
        <v>382</v>
      </c>
      <c r="C190" s="13" t="s">
        <v>383</v>
      </c>
      <c r="D190" s="14">
        <v>45473</v>
      </c>
      <c r="E190" s="15">
        <v>594.28728999999998</v>
      </c>
      <c r="F190" s="16">
        <v>10</v>
      </c>
      <c r="G190" s="17">
        <f t="shared" si="46"/>
        <v>59.428728999999997</v>
      </c>
      <c r="H190" s="15">
        <v>2574.9087009999998</v>
      </c>
      <c r="I190" s="15">
        <v>5700.1132589999997</v>
      </c>
      <c r="J190" s="15">
        <v>8393.8752559999994</v>
      </c>
      <c r="K190" s="15">
        <v>293.00332300000002</v>
      </c>
      <c r="L190" s="15">
        <v>59.749422000000003</v>
      </c>
      <c r="M190" s="17">
        <f t="shared" si="47"/>
        <v>14.095776000000001</v>
      </c>
      <c r="N190" s="15">
        <v>45.653646000000002</v>
      </c>
      <c r="O190" s="18">
        <v>0</v>
      </c>
      <c r="P190" s="18">
        <v>0</v>
      </c>
      <c r="Q190" s="19">
        <f t="shared" si="48"/>
        <v>0</v>
      </c>
      <c r="R190" s="18"/>
      <c r="S190" s="20">
        <v>467</v>
      </c>
    </row>
    <row r="191" spans="1:19" ht="15.75" x14ac:dyDescent="0.25">
      <c r="A191" s="22">
        <v>1</v>
      </c>
      <c r="B191" s="22" t="s">
        <v>384</v>
      </c>
      <c r="C191" s="13" t="s">
        <v>385</v>
      </c>
      <c r="D191" s="14">
        <v>45565</v>
      </c>
      <c r="E191" s="15"/>
      <c r="F191" s="16">
        <v>10</v>
      </c>
      <c r="G191" s="17">
        <f t="shared" ref="G191:G193" si="50">+E191/F191</f>
        <v>0</v>
      </c>
      <c r="H191" s="15"/>
      <c r="I191" s="15"/>
      <c r="J191" s="15"/>
      <c r="K191" s="15"/>
      <c r="L191" s="15"/>
      <c r="M191" s="17">
        <f t="shared" ref="M191:M193" si="51">+L191-N191</f>
        <v>0</v>
      </c>
      <c r="N191" s="15"/>
      <c r="O191" s="18"/>
      <c r="P191" s="18"/>
      <c r="Q191" s="19">
        <f t="shared" ref="Q191:Q193" si="52">SUM(O191:P191)</f>
        <v>0</v>
      </c>
      <c r="R191" s="18"/>
      <c r="S191" s="20"/>
    </row>
    <row r="192" spans="1:19" ht="15.75" x14ac:dyDescent="0.25">
      <c r="A192" s="22">
        <f>+A191+1</f>
        <v>2</v>
      </c>
      <c r="B192" s="22" t="s">
        <v>386</v>
      </c>
      <c r="C192" s="13" t="s">
        <v>387</v>
      </c>
      <c r="D192" s="14">
        <v>45565</v>
      </c>
      <c r="E192" s="15"/>
      <c r="F192" s="16">
        <v>10</v>
      </c>
      <c r="G192" s="17">
        <f t="shared" si="50"/>
        <v>0</v>
      </c>
      <c r="H192" s="15"/>
      <c r="I192" s="15"/>
      <c r="J192" s="15"/>
      <c r="K192" s="15"/>
      <c r="L192" s="15"/>
      <c r="M192" s="17">
        <f t="shared" si="51"/>
        <v>0</v>
      </c>
      <c r="N192" s="15"/>
      <c r="O192" s="18"/>
      <c r="P192" s="18"/>
      <c r="Q192" s="19">
        <f t="shared" si="52"/>
        <v>0</v>
      </c>
      <c r="R192" s="18"/>
      <c r="S192" s="20"/>
    </row>
    <row r="193" spans="1:19" ht="15.75" x14ac:dyDescent="0.25">
      <c r="A193" s="22">
        <f t="shared" ref="A193" si="53">+A192+1</f>
        <v>3</v>
      </c>
      <c r="B193" s="22" t="s">
        <v>388</v>
      </c>
      <c r="C193" s="13" t="s">
        <v>389</v>
      </c>
      <c r="D193" s="14">
        <v>45565</v>
      </c>
      <c r="E193" s="15"/>
      <c r="F193" s="16">
        <v>10</v>
      </c>
      <c r="G193" s="17">
        <f t="shared" si="50"/>
        <v>0</v>
      </c>
      <c r="H193" s="15"/>
      <c r="I193" s="15"/>
      <c r="J193" s="15"/>
      <c r="K193" s="15"/>
      <c r="L193" s="15"/>
      <c r="M193" s="17">
        <f t="shared" si="51"/>
        <v>0</v>
      </c>
      <c r="N193" s="15"/>
      <c r="O193" s="18"/>
      <c r="P193" s="18"/>
      <c r="Q193" s="19">
        <f t="shared" si="52"/>
        <v>0</v>
      </c>
      <c r="R193" s="18"/>
      <c r="S193" s="20"/>
    </row>
    <row r="194" spans="1:19" ht="15.75" x14ac:dyDescent="0.25">
      <c r="A194" s="22">
        <v>1</v>
      </c>
      <c r="B194" s="22" t="s">
        <v>390</v>
      </c>
      <c r="C194" s="13" t="s">
        <v>391</v>
      </c>
      <c r="D194" s="14">
        <v>45473</v>
      </c>
      <c r="E194" s="15">
        <v>840</v>
      </c>
      <c r="F194" s="16">
        <v>10</v>
      </c>
      <c r="G194" s="17">
        <f t="shared" ref="G194:G227" si="54">+E194/F194</f>
        <v>84</v>
      </c>
      <c r="H194" s="15">
        <v>8099.2460000000001</v>
      </c>
      <c r="I194" s="15">
        <v>22833.808000000001</v>
      </c>
      <c r="J194" s="15">
        <v>20810.385999999999</v>
      </c>
      <c r="K194" s="15">
        <v>1218.895</v>
      </c>
      <c r="L194" s="15">
        <v>413.54399999999998</v>
      </c>
      <c r="M194" s="17">
        <f t="shared" ref="M194:M227" si="55">+L194-N194</f>
        <v>81.824999999999989</v>
      </c>
      <c r="N194" s="15">
        <v>331.71899999999999</v>
      </c>
      <c r="O194" s="18">
        <v>10</v>
      </c>
      <c r="P194" s="18">
        <v>0</v>
      </c>
      <c r="Q194" s="19">
        <f t="shared" ref="Q194:Q227" si="56">SUM(O194:P194)</f>
        <v>10</v>
      </c>
      <c r="R194" s="18"/>
      <c r="S194" s="20">
        <v>1033</v>
      </c>
    </row>
    <row r="195" spans="1:19" ht="15.75" x14ac:dyDescent="0.25">
      <c r="A195" s="22">
        <f>+A194+1</f>
        <v>2</v>
      </c>
      <c r="B195" s="22" t="s">
        <v>392</v>
      </c>
      <c r="C195" s="13" t="s">
        <v>393</v>
      </c>
      <c r="D195" s="14">
        <v>45473</v>
      </c>
      <c r="E195" s="15">
        <v>84.715350000000001</v>
      </c>
      <c r="F195" s="16">
        <v>10</v>
      </c>
      <c r="G195" s="17">
        <f t="shared" si="54"/>
        <v>8.4715349999999994</v>
      </c>
      <c r="H195" s="15">
        <v>1834.097614</v>
      </c>
      <c r="I195" s="15">
        <v>3903.4193749999999</v>
      </c>
      <c r="J195" s="15">
        <v>5078.314652</v>
      </c>
      <c r="K195" s="15">
        <v>132.396691</v>
      </c>
      <c r="L195" s="15">
        <v>55.670538999999998</v>
      </c>
      <c r="M195" s="17">
        <f t="shared" si="55"/>
        <v>15.009709999999998</v>
      </c>
      <c r="N195" s="15">
        <v>40.660829</v>
      </c>
      <c r="O195" s="18">
        <v>0</v>
      </c>
      <c r="P195" s="18">
        <v>0</v>
      </c>
      <c r="Q195" s="19">
        <f t="shared" si="56"/>
        <v>0</v>
      </c>
      <c r="R195" s="18"/>
      <c r="S195" s="20">
        <v>663</v>
      </c>
    </row>
    <row r="196" spans="1:19" ht="15.75" x14ac:dyDescent="0.25">
      <c r="A196" s="22">
        <f t="shared" ref="A196:A227" si="57">+A195+1</f>
        <v>3</v>
      </c>
      <c r="B196" s="22" t="s">
        <v>394</v>
      </c>
      <c r="C196" s="13" t="s">
        <v>395</v>
      </c>
      <c r="D196" s="14">
        <v>45473</v>
      </c>
      <c r="E196" s="15">
        <v>4854.0973100000001</v>
      </c>
      <c r="F196" s="16">
        <v>10</v>
      </c>
      <c r="G196" s="17">
        <f t="shared" si="54"/>
        <v>485.40973100000002</v>
      </c>
      <c r="H196" s="15">
        <v>13701.048677000001</v>
      </c>
      <c r="I196" s="15">
        <v>28027.377648999998</v>
      </c>
      <c r="J196" s="15">
        <v>36738.685104999997</v>
      </c>
      <c r="K196" s="15">
        <v>1091.439455</v>
      </c>
      <c r="L196" s="15">
        <v>602.90114800000003</v>
      </c>
      <c r="M196" s="17">
        <f t="shared" si="55"/>
        <v>73.325475999999981</v>
      </c>
      <c r="N196" s="15">
        <v>529.57567200000005</v>
      </c>
      <c r="O196" s="18">
        <v>0</v>
      </c>
      <c r="P196" s="18">
        <v>0</v>
      </c>
      <c r="Q196" s="19">
        <f t="shared" si="56"/>
        <v>0</v>
      </c>
      <c r="R196" s="31"/>
      <c r="S196" s="20">
        <v>6342</v>
      </c>
    </row>
    <row r="197" spans="1:19" ht="15.75" x14ac:dyDescent="0.25">
      <c r="A197" s="22">
        <f t="shared" si="57"/>
        <v>4</v>
      </c>
      <c r="B197" s="22" t="s">
        <v>396</v>
      </c>
      <c r="C197" s="13" t="s">
        <v>397</v>
      </c>
      <c r="D197" s="14">
        <v>45473</v>
      </c>
      <c r="E197" s="15">
        <v>96.6</v>
      </c>
      <c r="F197" s="16">
        <v>10</v>
      </c>
      <c r="G197" s="17">
        <f t="shared" si="54"/>
        <v>9.66</v>
      </c>
      <c r="H197" s="15">
        <v>818.65</v>
      </c>
      <c r="I197" s="15">
        <v>1920.675</v>
      </c>
      <c r="J197" s="15">
        <v>3460.0889999999999</v>
      </c>
      <c r="K197" s="15">
        <v>50.177999999999997</v>
      </c>
      <c r="L197" s="15">
        <v>-114.542</v>
      </c>
      <c r="M197" s="17">
        <f t="shared" si="55"/>
        <v>-4.1659999999999968</v>
      </c>
      <c r="N197" s="15">
        <v>-110.376</v>
      </c>
      <c r="O197" s="18">
        <v>0</v>
      </c>
      <c r="P197" s="18">
        <v>0</v>
      </c>
      <c r="Q197" s="19">
        <f t="shared" si="56"/>
        <v>0</v>
      </c>
      <c r="R197" s="18"/>
      <c r="S197" s="20">
        <v>939</v>
      </c>
    </row>
    <row r="198" spans="1:19" ht="15.75" x14ac:dyDescent="0.25">
      <c r="A198" s="22">
        <f t="shared" si="57"/>
        <v>5</v>
      </c>
      <c r="B198" s="22" t="s">
        <v>398</v>
      </c>
      <c r="C198" s="13" t="s">
        <v>399</v>
      </c>
      <c r="D198" s="14">
        <v>45473</v>
      </c>
      <c r="E198" s="15"/>
      <c r="F198" s="16">
        <v>10</v>
      </c>
      <c r="G198" s="17">
        <f t="shared" si="54"/>
        <v>0</v>
      </c>
      <c r="H198" s="15"/>
      <c r="I198" s="15"/>
      <c r="J198" s="15"/>
      <c r="K198" s="15"/>
      <c r="L198" s="15"/>
      <c r="M198" s="17">
        <f t="shared" si="55"/>
        <v>0</v>
      </c>
      <c r="N198" s="15"/>
      <c r="O198" s="18"/>
      <c r="P198" s="18"/>
      <c r="Q198" s="19">
        <f t="shared" si="56"/>
        <v>0</v>
      </c>
      <c r="R198" s="18"/>
      <c r="S198" s="20"/>
    </row>
    <row r="199" spans="1:19" ht="15.75" x14ac:dyDescent="0.25">
      <c r="A199" s="22">
        <f t="shared" si="57"/>
        <v>6</v>
      </c>
      <c r="B199" s="22" t="s">
        <v>400</v>
      </c>
      <c r="C199" s="13" t="s">
        <v>401</v>
      </c>
      <c r="D199" s="14">
        <v>45473</v>
      </c>
      <c r="E199" s="15">
        <v>30.40964</v>
      </c>
      <c r="F199" s="16">
        <v>10</v>
      </c>
      <c r="G199" s="17">
        <f t="shared" si="54"/>
        <v>3.0409639999999998</v>
      </c>
      <c r="H199" s="15">
        <v>10863.113681999999</v>
      </c>
      <c r="I199" s="15">
        <v>26664.941156000001</v>
      </c>
      <c r="J199" s="15">
        <v>33057.244654000002</v>
      </c>
      <c r="K199" s="15">
        <v>1866.2399069999999</v>
      </c>
      <c r="L199" s="15">
        <v>-188.27316999999999</v>
      </c>
      <c r="M199" s="17">
        <f t="shared" si="55"/>
        <v>-56.512018999999981</v>
      </c>
      <c r="N199" s="15">
        <v>-131.76115100000001</v>
      </c>
      <c r="O199" s="18">
        <v>0</v>
      </c>
      <c r="P199" s="18">
        <v>0</v>
      </c>
      <c r="Q199" s="19">
        <f t="shared" si="56"/>
        <v>0</v>
      </c>
      <c r="R199" s="18"/>
      <c r="S199" s="20">
        <v>436</v>
      </c>
    </row>
    <row r="200" spans="1:19" ht="15.75" x14ac:dyDescent="0.25">
      <c r="A200" s="22">
        <f t="shared" si="57"/>
        <v>7</v>
      </c>
      <c r="B200" s="22" t="s">
        <v>402</v>
      </c>
      <c r="C200" s="13" t="s">
        <v>403</v>
      </c>
      <c r="D200" s="14">
        <v>45473</v>
      </c>
      <c r="E200" s="15">
        <v>64.319999999999993</v>
      </c>
      <c r="F200" s="16">
        <v>10</v>
      </c>
      <c r="G200" s="17">
        <f t="shared" si="54"/>
        <v>6.4319999999999995</v>
      </c>
      <c r="H200" s="15">
        <v>8082.5623180000002</v>
      </c>
      <c r="I200" s="15">
        <v>14950.212436</v>
      </c>
      <c r="J200" s="15">
        <v>31821.773255</v>
      </c>
      <c r="K200" s="15">
        <v>1988.895082</v>
      </c>
      <c r="L200" s="15">
        <v>-1706.2314650000001</v>
      </c>
      <c r="M200" s="17">
        <f t="shared" si="55"/>
        <v>0</v>
      </c>
      <c r="N200" s="15">
        <v>-1706.2314650000001</v>
      </c>
      <c r="O200" s="18">
        <v>0</v>
      </c>
      <c r="P200" s="18">
        <v>0</v>
      </c>
      <c r="Q200" s="19">
        <f t="shared" si="56"/>
        <v>0</v>
      </c>
      <c r="R200" s="18"/>
      <c r="S200" s="20">
        <v>679</v>
      </c>
    </row>
    <row r="201" spans="1:19" ht="15.75" x14ac:dyDescent="0.25">
      <c r="A201" s="22">
        <f t="shared" si="57"/>
        <v>8</v>
      </c>
      <c r="B201" s="22" t="s">
        <v>404</v>
      </c>
      <c r="C201" s="13" t="s">
        <v>405</v>
      </c>
      <c r="D201" s="14">
        <v>45473</v>
      </c>
      <c r="E201" s="15">
        <v>1000</v>
      </c>
      <c r="F201" s="16">
        <v>10</v>
      </c>
      <c r="G201" s="17">
        <f t="shared" si="54"/>
        <v>100</v>
      </c>
      <c r="H201" s="15">
        <v>11393.582</v>
      </c>
      <c r="I201" s="15">
        <v>23889.441999999999</v>
      </c>
      <c r="J201" s="15">
        <v>23755.882000000001</v>
      </c>
      <c r="K201" s="15">
        <v>1631.7650000000001</v>
      </c>
      <c r="L201" s="15">
        <v>-1903.9490000000001</v>
      </c>
      <c r="M201" s="17">
        <f t="shared" si="55"/>
        <v>-154.10699999999997</v>
      </c>
      <c r="N201" s="15">
        <v>-1749.8420000000001</v>
      </c>
      <c r="O201" s="18">
        <v>0</v>
      </c>
      <c r="P201" s="18">
        <v>0</v>
      </c>
      <c r="Q201" s="19">
        <f t="shared" si="56"/>
        <v>0</v>
      </c>
      <c r="R201" s="18"/>
      <c r="S201" s="20">
        <v>2746</v>
      </c>
    </row>
    <row r="202" spans="1:19" ht="15.75" x14ac:dyDescent="0.25">
      <c r="A202" s="22">
        <f t="shared" si="57"/>
        <v>9</v>
      </c>
      <c r="B202" s="22" t="s">
        <v>406</v>
      </c>
      <c r="C202" s="13" t="s">
        <v>407</v>
      </c>
      <c r="D202" s="14">
        <v>45473</v>
      </c>
      <c r="E202" s="15">
        <v>100</v>
      </c>
      <c r="F202" s="16">
        <v>10</v>
      </c>
      <c r="G202" s="17">
        <f t="shared" si="54"/>
        <v>10</v>
      </c>
      <c r="H202" s="15">
        <v>12484.765867</v>
      </c>
      <c r="I202" s="15">
        <v>31690.027899000001</v>
      </c>
      <c r="J202" s="15">
        <v>45029.600571000003</v>
      </c>
      <c r="K202" s="15">
        <v>1608.0422140000001</v>
      </c>
      <c r="L202" s="15">
        <v>-1520.615558</v>
      </c>
      <c r="M202" s="17">
        <f t="shared" si="55"/>
        <v>-136.84416399999986</v>
      </c>
      <c r="N202" s="15">
        <v>-1383.7713940000001</v>
      </c>
      <c r="O202" s="18">
        <v>0</v>
      </c>
      <c r="P202" s="18">
        <v>0</v>
      </c>
      <c r="Q202" s="19">
        <f t="shared" si="56"/>
        <v>0</v>
      </c>
      <c r="R202" s="18"/>
      <c r="S202" s="20">
        <v>803</v>
      </c>
    </row>
    <row r="203" spans="1:19" ht="15.75" x14ac:dyDescent="0.25">
      <c r="A203" s="22">
        <f t="shared" si="57"/>
        <v>10</v>
      </c>
      <c r="B203" s="22" t="s">
        <v>408</v>
      </c>
      <c r="C203" s="13" t="s">
        <v>409</v>
      </c>
      <c r="D203" s="14">
        <v>45473</v>
      </c>
      <c r="E203" s="15">
        <v>3994.0902599999999</v>
      </c>
      <c r="F203" s="16">
        <v>10</v>
      </c>
      <c r="G203" s="17">
        <f t="shared" si="54"/>
        <v>399.40902599999998</v>
      </c>
      <c r="H203" s="15">
        <v>33657.14</v>
      </c>
      <c r="I203" s="15">
        <v>80883.929000000004</v>
      </c>
      <c r="J203" s="15">
        <v>69757.600999999995</v>
      </c>
      <c r="K203" s="15">
        <v>3835.6320000000001</v>
      </c>
      <c r="L203" s="15">
        <v>601.024</v>
      </c>
      <c r="M203" s="17">
        <f t="shared" si="55"/>
        <v>28.682999999999993</v>
      </c>
      <c r="N203" s="15">
        <v>572.34100000000001</v>
      </c>
      <c r="O203" s="18">
        <v>0</v>
      </c>
      <c r="P203" s="18">
        <v>0</v>
      </c>
      <c r="Q203" s="19">
        <f t="shared" si="56"/>
        <v>0</v>
      </c>
      <c r="R203" s="18"/>
      <c r="S203" s="20">
        <v>1084</v>
      </c>
    </row>
    <row r="204" spans="1:19" ht="15.75" x14ac:dyDescent="0.25">
      <c r="A204" s="22">
        <f t="shared" si="57"/>
        <v>11</v>
      </c>
      <c r="B204" s="22" t="s">
        <v>410</v>
      </c>
      <c r="C204" s="21" t="s">
        <v>411</v>
      </c>
      <c r="D204" s="14">
        <v>45473</v>
      </c>
      <c r="E204" s="15">
        <v>300</v>
      </c>
      <c r="F204" s="16">
        <v>10</v>
      </c>
      <c r="G204" s="17">
        <f t="shared" si="54"/>
        <v>30</v>
      </c>
      <c r="H204" s="15">
        <v>44321.389997999999</v>
      </c>
      <c r="I204" s="15">
        <v>99781.337173000007</v>
      </c>
      <c r="J204" s="15">
        <v>97160.875497999994</v>
      </c>
      <c r="K204" s="15">
        <v>8337.4278479999994</v>
      </c>
      <c r="L204" s="15">
        <v>1495.310074</v>
      </c>
      <c r="M204" s="17">
        <f t="shared" si="55"/>
        <v>-289.97748100000013</v>
      </c>
      <c r="N204" s="15">
        <v>1785.2875550000001</v>
      </c>
      <c r="O204" s="18">
        <v>0</v>
      </c>
      <c r="P204" s="18">
        <v>0</v>
      </c>
      <c r="Q204" s="19">
        <f t="shared" si="56"/>
        <v>0</v>
      </c>
      <c r="R204" s="18"/>
      <c r="S204" s="20">
        <v>1400</v>
      </c>
    </row>
    <row r="205" spans="1:19" ht="15.75" x14ac:dyDescent="0.25">
      <c r="A205" s="22">
        <f t="shared" si="57"/>
        <v>12</v>
      </c>
      <c r="B205" s="22" t="s">
        <v>412</v>
      </c>
      <c r="C205" s="13" t="s">
        <v>413</v>
      </c>
      <c r="D205" s="14">
        <v>45473</v>
      </c>
      <c r="E205" s="15">
        <v>7400.5940000000001</v>
      </c>
      <c r="F205" s="16">
        <v>10</v>
      </c>
      <c r="G205" s="17">
        <f t="shared" si="54"/>
        <v>740.05939999999998</v>
      </c>
      <c r="H205" s="15">
        <v>44753.222999999998</v>
      </c>
      <c r="I205" s="15">
        <v>136488.44500000001</v>
      </c>
      <c r="J205" s="15">
        <v>143145.84400000001</v>
      </c>
      <c r="K205" s="15">
        <v>5426.4560000000001</v>
      </c>
      <c r="L205" s="15">
        <v>4493.4579999999996</v>
      </c>
      <c r="M205" s="17">
        <f t="shared" si="55"/>
        <v>-234.34400000000005</v>
      </c>
      <c r="N205" s="15">
        <v>4727.8019999999997</v>
      </c>
      <c r="O205" s="18">
        <v>0</v>
      </c>
      <c r="P205" s="18">
        <v>0</v>
      </c>
      <c r="Q205" s="19">
        <f t="shared" si="56"/>
        <v>0</v>
      </c>
      <c r="R205" s="18"/>
      <c r="S205" s="20">
        <v>7693</v>
      </c>
    </row>
    <row r="206" spans="1:19" ht="15.75" x14ac:dyDescent="0.25">
      <c r="A206" s="22">
        <f t="shared" si="57"/>
        <v>13</v>
      </c>
      <c r="B206" s="22" t="s">
        <v>414</v>
      </c>
      <c r="C206" s="13" t="s">
        <v>415</v>
      </c>
      <c r="D206" s="14">
        <v>45473</v>
      </c>
      <c r="E206" s="15">
        <v>326.35599999999999</v>
      </c>
      <c r="F206" s="16">
        <v>10</v>
      </c>
      <c r="G206" s="17">
        <f t="shared" si="54"/>
        <v>32.635599999999997</v>
      </c>
      <c r="H206" s="15">
        <v>4485.3443530000004</v>
      </c>
      <c r="I206" s="15">
        <v>4975.9851699999999</v>
      </c>
      <c r="J206" s="15">
        <v>4422.5887659999999</v>
      </c>
      <c r="K206" s="15">
        <v>97.802206999999996</v>
      </c>
      <c r="L206" s="15">
        <v>-687.002656</v>
      </c>
      <c r="M206" s="17">
        <f t="shared" si="55"/>
        <v>-20.690817000000038</v>
      </c>
      <c r="N206" s="15">
        <v>-666.31183899999996</v>
      </c>
      <c r="O206" s="18">
        <v>0</v>
      </c>
      <c r="P206" s="18">
        <v>0</v>
      </c>
      <c r="Q206" s="19">
        <f t="shared" si="56"/>
        <v>0</v>
      </c>
      <c r="R206" s="18"/>
      <c r="S206" s="20">
        <v>4632</v>
      </c>
    </row>
    <row r="207" spans="1:19" ht="15.75" x14ac:dyDescent="0.25">
      <c r="A207" s="22">
        <f t="shared" si="57"/>
        <v>14</v>
      </c>
      <c r="B207" s="22" t="s">
        <v>416</v>
      </c>
      <c r="C207" s="21" t="s">
        <v>417</v>
      </c>
      <c r="D207" s="14">
        <v>45473</v>
      </c>
      <c r="E207" s="15">
        <v>129.96304000000001</v>
      </c>
      <c r="F207" s="16">
        <v>10</v>
      </c>
      <c r="G207" s="17">
        <f t="shared" si="54"/>
        <v>12.996304</v>
      </c>
      <c r="H207" s="15">
        <v>284.15304800000001</v>
      </c>
      <c r="I207" s="15">
        <v>560.367257</v>
      </c>
      <c r="J207" s="15">
        <v>521.605594</v>
      </c>
      <c r="K207" s="15">
        <v>34.937551999999997</v>
      </c>
      <c r="L207" s="15">
        <v>-47.355614000000003</v>
      </c>
      <c r="M207" s="17">
        <f t="shared" si="55"/>
        <v>0</v>
      </c>
      <c r="N207" s="15">
        <v>-47.355614000000003</v>
      </c>
      <c r="O207" s="18">
        <v>0</v>
      </c>
      <c r="P207" s="18">
        <v>0</v>
      </c>
      <c r="Q207" s="19">
        <f t="shared" si="56"/>
        <v>0</v>
      </c>
      <c r="R207" s="18"/>
      <c r="S207" s="20">
        <v>871</v>
      </c>
    </row>
    <row r="208" spans="1:19" ht="15.75" x14ac:dyDescent="0.25">
      <c r="A208" s="22">
        <f t="shared" si="57"/>
        <v>15</v>
      </c>
      <c r="B208" s="22" t="s">
        <v>418</v>
      </c>
      <c r="C208" s="13" t="s">
        <v>419</v>
      </c>
      <c r="D208" s="14">
        <v>45473</v>
      </c>
      <c r="E208" s="15">
        <v>12</v>
      </c>
      <c r="F208" s="16">
        <v>10</v>
      </c>
      <c r="G208" s="17">
        <f t="shared" si="54"/>
        <v>1.2</v>
      </c>
      <c r="H208" s="15">
        <v>590.81719799999996</v>
      </c>
      <c r="I208" s="15">
        <v>605.31284700000003</v>
      </c>
      <c r="J208" s="15">
        <v>33.833463000000002</v>
      </c>
      <c r="K208" s="15">
        <v>1.3299E-2</v>
      </c>
      <c r="L208" s="15">
        <v>43.420157000000003</v>
      </c>
      <c r="M208" s="17">
        <f t="shared" si="55"/>
        <v>7.4386040000000051</v>
      </c>
      <c r="N208" s="15">
        <v>35.981552999999998</v>
      </c>
      <c r="O208" s="18">
        <v>25</v>
      </c>
      <c r="P208" s="18">
        <v>0</v>
      </c>
      <c r="Q208" s="19">
        <f t="shared" si="56"/>
        <v>25</v>
      </c>
      <c r="R208" s="18"/>
      <c r="S208" s="20">
        <v>1025</v>
      </c>
    </row>
    <row r="209" spans="1:19" ht="15.75" x14ac:dyDescent="0.25">
      <c r="A209" s="22">
        <f t="shared" si="57"/>
        <v>16</v>
      </c>
      <c r="B209" s="22" t="s">
        <v>420</v>
      </c>
      <c r="C209" s="13" t="s">
        <v>421</v>
      </c>
      <c r="D209" s="14">
        <v>45473</v>
      </c>
      <c r="E209" s="15">
        <v>14017.09468</v>
      </c>
      <c r="F209" s="16">
        <v>10</v>
      </c>
      <c r="G209" s="17">
        <f t="shared" si="54"/>
        <v>1401.709468</v>
      </c>
      <c r="H209" s="15">
        <v>53532.474999999999</v>
      </c>
      <c r="I209" s="15">
        <v>151674.177</v>
      </c>
      <c r="J209" s="15">
        <v>156128.86499999999</v>
      </c>
      <c r="K209" s="15">
        <v>10125.154</v>
      </c>
      <c r="L209" s="15">
        <v>15761.138000000001</v>
      </c>
      <c r="M209" s="17">
        <f t="shared" si="55"/>
        <v>-10.128999999998996</v>
      </c>
      <c r="N209" s="15">
        <v>15771.267</v>
      </c>
      <c r="O209" s="18">
        <f>20+25</f>
        <v>45</v>
      </c>
      <c r="P209" s="18">
        <v>0</v>
      </c>
      <c r="Q209" s="19">
        <f t="shared" si="56"/>
        <v>45</v>
      </c>
      <c r="R209" s="18"/>
      <c r="S209" s="20">
        <v>7268</v>
      </c>
    </row>
    <row r="210" spans="1:19" ht="15.75" x14ac:dyDescent="0.25">
      <c r="A210" s="22">
        <f t="shared" si="57"/>
        <v>17</v>
      </c>
      <c r="B210" s="22" t="s">
        <v>422</v>
      </c>
      <c r="C210" s="13" t="s">
        <v>423</v>
      </c>
      <c r="D210" s="14">
        <v>45473</v>
      </c>
      <c r="E210" s="15">
        <v>96.75</v>
      </c>
      <c r="F210" s="16">
        <v>10</v>
      </c>
      <c r="G210" s="17">
        <f t="shared" si="54"/>
        <v>9.6750000000000007</v>
      </c>
      <c r="H210" s="15">
        <v>167.31186099999999</v>
      </c>
      <c r="I210" s="15">
        <v>482.60880700000001</v>
      </c>
      <c r="J210" s="15">
        <v>850.50502900000004</v>
      </c>
      <c r="K210" s="15">
        <v>28.363703999999998</v>
      </c>
      <c r="L210" s="15">
        <v>25.506509999999999</v>
      </c>
      <c r="M210" s="17">
        <f t="shared" si="55"/>
        <v>14.462969999999999</v>
      </c>
      <c r="N210" s="15">
        <v>11.04354</v>
      </c>
      <c r="O210" s="18">
        <v>7.5</v>
      </c>
      <c r="P210" s="18">
        <v>0</v>
      </c>
      <c r="Q210" s="19">
        <f t="shared" si="56"/>
        <v>7.5</v>
      </c>
      <c r="R210" s="18"/>
      <c r="S210" s="20">
        <v>1238</v>
      </c>
    </row>
    <row r="211" spans="1:19" ht="15.75" x14ac:dyDescent="0.25">
      <c r="A211" s="22">
        <f t="shared" si="57"/>
        <v>18</v>
      </c>
      <c r="B211" s="22" t="s">
        <v>424</v>
      </c>
      <c r="C211" s="13" t="s">
        <v>425</v>
      </c>
      <c r="D211" s="14">
        <v>45473</v>
      </c>
      <c r="E211" s="15">
        <v>12.275</v>
      </c>
      <c r="F211" s="16">
        <v>10</v>
      </c>
      <c r="G211" s="17">
        <f t="shared" si="54"/>
        <v>1.2275</v>
      </c>
      <c r="H211" s="15">
        <v>1256.801091</v>
      </c>
      <c r="I211" s="15">
        <v>1309.8415170000001</v>
      </c>
      <c r="J211" s="15">
        <v>18.354500000000002</v>
      </c>
      <c r="K211" s="15">
        <v>8.8800000000000007E-3</v>
      </c>
      <c r="L211" s="15">
        <v>-5.7544630000000003</v>
      </c>
      <c r="M211" s="17">
        <f t="shared" si="55"/>
        <v>-1.0919940000000006</v>
      </c>
      <c r="N211" s="15">
        <v>-4.6624689999999998</v>
      </c>
      <c r="O211" s="18">
        <v>0</v>
      </c>
      <c r="P211" s="18">
        <v>0</v>
      </c>
      <c r="Q211" s="19">
        <f t="shared" si="56"/>
        <v>0</v>
      </c>
      <c r="R211" s="18"/>
      <c r="S211" s="20">
        <v>522</v>
      </c>
    </row>
    <row r="212" spans="1:19" ht="15.75" x14ac:dyDescent="0.25">
      <c r="A212" s="22">
        <f t="shared" si="57"/>
        <v>19</v>
      </c>
      <c r="B212" s="22" t="s">
        <v>426</v>
      </c>
      <c r="C212" s="13" t="s">
        <v>427</v>
      </c>
      <c r="D212" s="14">
        <v>45473</v>
      </c>
      <c r="E212" s="15">
        <v>509.11011000000002</v>
      </c>
      <c r="F212" s="16">
        <v>10</v>
      </c>
      <c r="G212" s="17">
        <f t="shared" si="54"/>
        <v>50.911011000000002</v>
      </c>
      <c r="H212" s="15">
        <v>9952.0426790000001</v>
      </c>
      <c r="I212" s="15">
        <v>24868.398262999999</v>
      </c>
      <c r="J212" s="15">
        <v>29854.242225000002</v>
      </c>
      <c r="K212" s="15">
        <v>1718.887557</v>
      </c>
      <c r="L212" s="15">
        <v>-15.599491</v>
      </c>
      <c r="M212" s="17">
        <f t="shared" si="55"/>
        <v>4.023257000000001</v>
      </c>
      <c r="N212" s="15">
        <v>-19.622748000000001</v>
      </c>
      <c r="O212" s="18">
        <v>0</v>
      </c>
      <c r="P212" s="18">
        <v>0</v>
      </c>
      <c r="Q212" s="19">
        <f t="shared" si="56"/>
        <v>0</v>
      </c>
      <c r="R212" s="18"/>
      <c r="S212" s="20">
        <v>1354</v>
      </c>
    </row>
    <row r="213" spans="1:19" ht="15.75" x14ac:dyDescent="0.25">
      <c r="A213" s="22">
        <f t="shared" si="57"/>
        <v>20</v>
      </c>
      <c r="B213" s="22" t="s">
        <v>428</v>
      </c>
      <c r="C213" s="13" t="s">
        <v>429</v>
      </c>
      <c r="D213" s="14">
        <v>45473</v>
      </c>
      <c r="E213" s="15">
        <v>303.02542999999997</v>
      </c>
      <c r="F213" s="16">
        <v>10</v>
      </c>
      <c r="G213" s="17">
        <f t="shared" si="54"/>
        <v>30.302542999999996</v>
      </c>
      <c r="H213" s="15">
        <v>1031.57835</v>
      </c>
      <c r="I213" s="15">
        <v>1087.0744609999999</v>
      </c>
      <c r="J213" s="15">
        <v>85.654535999999993</v>
      </c>
      <c r="K213" s="15">
        <v>1.4017E-2</v>
      </c>
      <c r="L213" s="15">
        <v>73.799051000000006</v>
      </c>
      <c r="M213" s="17">
        <f t="shared" si="55"/>
        <v>35.078946000000009</v>
      </c>
      <c r="N213" s="15">
        <v>38.720104999999997</v>
      </c>
      <c r="O213" s="18">
        <v>0</v>
      </c>
      <c r="P213" s="18">
        <v>0</v>
      </c>
      <c r="Q213" s="19">
        <f t="shared" si="56"/>
        <v>0</v>
      </c>
      <c r="R213" s="18"/>
      <c r="S213" s="20">
        <v>2048</v>
      </c>
    </row>
    <row r="214" spans="1:19" ht="15.75" x14ac:dyDescent="0.25">
      <c r="A214" s="22">
        <f t="shared" si="57"/>
        <v>21</v>
      </c>
      <c r="B214" s="22" t="s">
        <v>430</v>
      </c>
      <c r="C214" s="13" t="s">
        <v>431</v>
      </c>
      <c r="D214" s="14">
        <v>45473</v>
      </c>
      <c r="E214" s="15">
        <v>2692.9940000000001</v>
      </c>
      <c r="F214" s="16">
        <v>10</v>
      </c>
      <c r="G214" s="17">
        <f t="shared" si="54"/>
        <v>269.29939999999999</v>
      </c>
      <c r="H214" s="15">
        <v>29232.556</v>
      </c>
      <c r="I214" s="15">
        <v>51853.603000000003</v>
      </c>
      <c r="J214" s="15">
        <v>58174.951999999997</v>
      </c>
      <c r="K214" s="15">
        <v>3359.3449999999998</v>
      </c>
      <c r="L214" s="15">
        <v>2990.6260000000002</v>
      </c>
      <c r="M214" s="17">
        <f t="shared" si="55"/>
        <v>791.4640000000004</v>
      </c>
      <c r="N214" s="15">
        <v>2199.1619999999998</v>
      </c>
      <c r="O214" s="18">
        <v>0</v>
      </c>
      <c r="P214" s="18">
        <v>0</v>
      </c>
      <c r="Q214" s="19">
        <f t="shared" si="56"/>
        <v>0</v>
      </c>
      <c r="R214" s="18"/>
      <c r="S214" s="20">
        <v>4438</v>
      </c>
    </row>
    <row r="215" spans="1:19" ht="15.75" x14ac:dyDescent="0.25">
      <c r="A215" s="22">
        <f t="shared" si="57"/>
        <v>22</v>
      </c>
      <c r="B215" s="22" t="s">
        <v>432</v>
      </c>
      <c r="C215" s="13" t="s">
        <v>433</v>
      </c>
      <c r="D215" s="14">
        <v>45473</v>
      </c>
      <c r="E215" s="15">
        <v>300</v>
      </c>
      <c r="F215" s="16">
        <v>10</v>
      </c>
      <c r="G215" s="17">
        <f t="shared" si="54"/>
        <v>30</v>
      </c>
      <c r="H215" s="15">
        <v>17405.107996999999</v>
      </c>
      <c r="I215" s="15">
        <v>55033.138099999996</v>
      </c>
      <c r="J215" s="15">
        <v>66583.767005000002</v>
      </c>
      <c r="K215" s="15">
        <v>5631.3812349999998</v>
      </c>
      <c r="L215" s="15">
        <v>475.34718500000002</v>
      </c>
      <c r="M215" s="17">
        <f t="shared" si="55"/>
        <v>225.81059400000004</v>
      </c>
      <c r="N215" s="15">
        <v>249.53659099999999</v>
      </c>
      <c r="O215" s="18">
        <v>0</v>
      </c>
      <c r="P215" s="18">
        <v>0</v>
      </c>
      <c r="Q215" s="19">
        <f t="shared" si="56"/>
        <v>0</v>
      </c>
      <c r="R215" s="18"/>
      <c r="S215" s="20">
        <v>131</v>
      </c>
    </row>
    <row r="216" spans="1:19" ht="15.75" x14ac:dyDescent="0.25">
      <c r="A216" s="22">
        <f t="shared" si="57"/>
        <v>23</v>
      </c>
      <c r="B216" s="22" t="s">
        <v>434</v>
      </c>
      <c r="C216" s="13" t="s">
        <v>435</v>
      </c>
      <c r="D216" s="14">
        <v>45473</v>
      </c>
      <c r="E216" s="15">
        <v>1375</v>
      </c>
      <c r="F216" s="16">
        <v>10</v>
      </c>
      <c r="G216" s="17">
        <f t="shared" si="54"/>
        <v>137.5</v>
      </c>
      <c r="H216" s="15">
        <v>16681.613000000001</v>
      </c>
      <c r="I216" s="15">
        <v>55151.741999999998</v>
      </c>
      <c r="J216" s="15">
        <v>58676.925999999999</v>
      </c>
      <c r="K216" s="15">
        <v>4999.5010000000002</v>
      </c>
      <c r="L216" s="15">
        <v>-394.68200000000002</v>
      </c>
      <c r="M216" s="17">
        <f t="shared" si="55"/>
        <v>75.347999999999956</v>
      </c>
      <c r="N216" s="15">
        <v>-470.03</v>
      </c>
      <c r="O216" s="18">
        <v>0</v>
      </c>
      <c r="P216" s="18">
        <v>0</v>
      </c>
      <c r="Q216" s="19">
        <f t="shared" si="56"/>
        <v>0</v>
      </c>
      <c r="R216" s="18"/>
      <c r="S216" s="20">
        <v>1296</v>
      </c>
    </row>
    <row r="217" spans="1:19" ht="15.75" x14ac:dyDescent="0.25">
      <c r="A217" s="22">
        <f t="shared" si="57"/>
        <v>24</v>
      </c>
      <c r="B217" s="22" t="s">
        <v>436</v>
      </c>
      <c r="C217" s="13" t="s">
        <v>437</v>
      </c>
      <c r="D217" s="14">
        <v>45473</v>
      </c>
      <c r="E217" s="15">
        <v>2401.19029</v>
      </c>
      <c r="F217" s="16">
        <v>10</v>
      </c>
      <c r="G217" s="17">
        <f t="shared" si="54"/>
        <v>240.11902900000001</v>
      </c>
      <c r="H217" s="15">
        <v>21399.794888</v>
      </c>
      <c r="I217" s="15">
        <v>68803.346174999999</v>
      </c>
      <c r="J217" s="15">
        <v>88879.551818000007</v>
      </c>
      <c r="K217" s="15">
        <v>7753.9841919999999</v>
      </c>
      <c r="L217" s="15">
        <v>728.551962</v>
      </c>
      <c r="M217" s="17">
        <f t="shared" si="55"/>
        <v>36.880464999999958</v>
      </c>
      <c r="N217" s="15">
        <v>691.67149700000004</v>
      </c>
      <c r="O217" s="18">
        <v>0</v>
      </c>
      <c r="P217" s="18">
        <v>0</v>
      </c>
      <c r="Q217" s="19">
        <f t="shared" si="56"/>
        <v>0</v>
      </c>
      <c r="R217" s="18"/>
      <c r="S217" s="20">
        <v>7776</v>
      </c>
    </row>
    <row r="218" spans="1:19" ht="15.75" x14ac:dyDescent="0.25">
      <c r="A218" s="22">
        <f t="shared" si="57"/>
        <v>25</v>
      </c>
      <c r="B218" s="22" t="s">
        <v>438</v>
      </c>
      <c r="C218" s="13" t="s">
        <v>439</v>
      </c>
      <c r="D218" s="14">
        <v>45473</v>
      </c>
      <c r="E218" s="15">
        <v>3515.9989999999998</v>
      </c>
      <c r="F218" s="16">
        <v>10</v>
      </c>
      <c r="G218" s="17">
        <f t="shared" si="54"/>
        <v>351.59989999999999</v>
      </c>
      <c r="H218" s="15">
        <v>114810.01300000001</v>
      </c>
      <c r="I218" s="15">
        <v>216839.44500000001</v>
      </c>
      <c r="J218" s="15">
        <v>160256.55499999999</v>
      </c>
      <c r="K218" s="15">
        <v>10442.392</v>
      </c>
      <c r="L218" s="15">
        <v>8440.6939999999995</v>
      </c>
      <c r="M218" s="17">
        <f t="shared" si="55"/>
        <v>2071.8409999999994</v>
      </c>
      <c r="N218" s="15">
        <v>6368.8530000000001</v>
      </c>
      <c r="O218" s="18">
        <v>30</v>
      </c>
      <c r="P218" s="18">
        <v>0</v>
      </c>
      <c r="Q218" s="19">
        <f t="shared" si="56"/>
        <v>30</v>
      </c>
      <c r="R218" s="18"/>
      <c r="S218" s="20">
        <v>13209</v>
      </c>
    </row>
    <row r="219" spans="1:19" ht="15.75" x14ac:dyDescent="0.25">
      <c r="A219" s="22">
        <f t="shared" si="57"/>
        <v>26</v>
      </c>
      <c r="B219" s="22" t="s">
        <v>440</v>
      </c>
      <c r="C219" s="13" t="s">
        <v>441</v>
      </c>
      <c r="D219" s="14">
        <v>45473</v>
      </c>
      <c r="E219" s="15">
        <v>492.92599999999999</v>
      </c>
      <c r="F219" s="16">
        <v>10</v>
      </c>
      <c r="G219" s="17">
        <f t="shared" si="54"/>
        <v>49.2926</v>
      </c>
      <c r="H219" s="15">
        <v>1002.85685</v>
      </c>
      <c r="I219" s="15">
        <v>3799.400549</v>
      </c>
      <c r="J219" s="15">
        <v>1470.172094</v>
      </c>
      <c r="K219" s="15">
        <v>2.676936</v>
      </c>
      <c r="L219" s="15">
        <v>141.027884</v>
      </c>
      <c r="M219" s="17">
        <f t="shared" si="55"/>
        <v>-71.052008000000001</v>
      </c>
      <c r="N219" s="15">
        <v>212.079892</v>
      </c>
      <c r="O219" s="18">
        <v>0</v>
      </c>
      <c r="P219" s="18">
        <v>0</v>
      </c>
      <c r="Q219" s="19">
        <f t="shared" si="56"/>
        <v>0</v>
      </c>
      <c r="R219" s="18"/>
      <c r="S219" s="20">
        <v>760</v>
      </c>
    </row>
    <row r="220" spans="1:19" ht="15.75" x14ac:dyDescent="0.25">
      <c r="A220" s="22">
        <f t="shared" si="57"/>
        <v>27</v>
      </c>
      <c r="B220" s="22" t="s">
        <v>442</v>
      </c>
      <c r="C220" s="13" t="s">
        <v>443</v>
      </c>
      <c r="D220" s="14">
        <v>45473</v>
      </c>
      <c r="E220" s="15">
        <v>308.10937000000001</v>
      </c>
      <c r="F220" s="16">
        <v>10</v>
      </c>
      <c r="G220" s="17">
        <f t="shared" si="54"/>
        <v>30.810937000000003</v>
      </c>
      <c r="H220" s="15">
        <v>10084.812846000001</v>
      </c>
      <c r="I220" s="15">
        <v>34864.189283</v>
      </c>
      <c r="J220" s="15">
        <v>41461.459104000001</v>
      </c>
      <c r="K220" s="15">
        <v>3892.5256290000002</v>
      </c>
      <c r="L220" s="15">
        <v>-432.893643</v>
      </c>
      <c r="M220" s="17">
        <f t="shared" si="55"/>
        <v>-552.49545000000001</v>
      </c>
      <c r="N220" s="15">
        <v>119.60180699999999</v>
      </c>
      <c r="O220" s="18">
        <v>0</v>
      </c>
      <c r="P220" s="18">
        <v>0</v>
      </c>
      <c r="Q220" s="19">
        <f t="shared" si="56"/>
        <v>0</v>
      </c>
      <c r="R220" s="18"/>
      <c r="S220" s="20">
        <v>1505</v>
      </c>
    </row>
    <row r="221" spans="1:19" ht="15.75" x14ac:dyDescent="0.25">
      <c r="A221" s="22">
        <f t="shared" si="57"/>
        <v>28</v>
      </c>
      <c r="B221" s="22" t="s">
        <v>444</v>
      </c>
      <c r="C221" s="13" t="s">
        <v>445</v>
      </c>
      <c r="D221" s="14">
        <v>45473</v>
      </c>
      <c r="E221" s="15">
        <v>216.89791</v>
      </c>
      <c r="F221" s="16">
        <v>10</v>
      </c>
      <c r="G221" s="17">
        <f t="shared" si="54"/>
        <v>21.689791</v>
      </c>
      <c r="H221" s="15">
        <v>36916.853282999997</v>
      </c>
      <c r="I221" s="15">
        <v>83015.927859000003</v>
      </c>
      <c r="J221" s="15">
        <v>82399.261522999994</v>
      </c>
      <c r="K221" s="15">
        <v>6395.0382799999998</v>
      </c>
      <c r="L221" s="15">
        <v>5149.371298</v>
      </c>
      <c r="M221" s="17">
        <f t="shared" si="55"/>
        <v>-24.365409</v>
      </c>
      <c r="N221" s="15">
        <v>5173.736707</v>
      </c>
      <c r="O221" s="18">
        <v>100</v>
      </c>
      <c r="P221" s="18">
        <v>0</v>
      </c>
      <c r="Q221" s="19">
        <f t="shared" si="56"/>
        <v>100</v>
      </c>
      <c r="R221" s="18"/>
      <c r="S221" s="20">
        <v>430</v>
      </c>
    </row>
    <row r="222" spans="1:19" ht="15.75" x14ac:dyDescent="0.25">
      <c r="A222" s="22">
        <f t="shared" si="57"/>
        <v>29</v>
      </c>
      <c r="B222" s="22" t="s">
        <v>446</v>
      </c>
      <c r="C222" s="13" t="s">
        <v>447</v>
      </c>
      <c r="D222" s="14">
        <v>45473</v>
      </c>
      <c r="E222" s="15">
        <v>206.71875</v>
      </c>
      <c r="F222" s="16">
        <v>10</v>
      </c>
      <c r="G222" s="17">
        <f t="shared" si="54"/>
        <v>20.671875</v>
      </c>
      <c r="H222" s="15">
        <v>34560.083704999997</v>
      </c>
      <c r="I222" s="15">
        <v>56275.598239999999</v>
      </c>
      <c r="J222" s="15">
        <v>47420.211276000002</v>
      </c>
      <c r="K222" s="15">
        <v>2783.785104</v>
      </c>
      <c r="L222" s="15">
        <v>2992.1601919999998</v>
      </c>
      <c r="M222" s="17">
        <f t="shared" si="55"/>
        <v>-344.87154800000008</v>
      </c>
      <c r="N222" s="15">
        <v>3337.0317399999999</v>
      </c>
      <c r="O222" s="18">
        <v>100</v>
      </c>
      <c r="P222" s="18">
        <v>0</v>
      </c>
      <c r="Q222" s="19">
        <f t="shared" si="56"/>
        <v>100</v>
      </c>
      <c r="R222" s="18"/>
      <c r="S222" s="20">
        <v>625</v>
      </c>
    </row>
    <row r="223" spans="1:19" ht="15.75" x14ac:dyDescent="0.25">
      <c r="A223" s="22">
        <f t="shared" si="57"/>
        <v>30</v>
      </c>
      <c r="B223" s="22" t="s">
        <v>448</v>
      </c>
      <c r="C223" s="13" t="s">
        <v>449</v>
      </c>
      <c r="D223" s="14">
        <v>45473</v>
      </c>
      <c r="E223" s="15">
        <v>86.4</v>
      </c>
      <c r="F223" s="16">
        <v>10</v>
      </c>
      <c r="G223" s="17">
        <f t="shared" si="54"/>
        <v>8.64</v>
      </c>
      <c r="H223" s="15">
        <v>931.31799999999998</v>
      </c>
      <c r="I223" s="15">
        <v>2547.4699999999998</v>
      </c>
      <c r="J223" s="15">
        <v>6916.1850000000004</v>
      </c>
      <c r="K223" s="15">
        <v>90.503</v>
      </c>
      <c r="L223" s="15">
        <v>-28.956</v>
      </c>
      <c r="M223" s="17">
        <f t="shared" si="55"/>
        <v>4.9390000000000036</v>
      </c>
      <c r="N223" s="15">
        <v>-33.895000000000003</v>
      </c>
      <c r="O223" s="18">
        <v>0</v>
      </c>
      <c r="P223" s="18">
        <v>0</v>
      </c>
      <c r="Q223" s="19">
        <f t="shared" si="56"/>
        <v>0</v>
      </c>
      <c r="R223" s="18"/>
      <c r="S223" s="20">
        <v>956</v>
      </c>
    </row>
    <row r="224" spans="1:19" ht="15.75" x14ac:dyDescent="0.25">
      <c r="A224" s="22">
        <f t="shared" si="57"/>
        <v>31</v>
      </c>
      <c r="B224" s="22" t="s">
        <v>450</v>
      </c>
      <c r="C224" s="13" t="s">
        <v>451</v>
      </c>
      <c r="D224" s="14">
        <v>45473</v>
      </c>
      <c r="E224" s="15">
        <v>4352.8742000000002</v>
      </c>
      <c r="F224" s="16">
        <v>10</v>
      </c>
      <c r="G224" s="17">
        <f t="shared" si="54"/>
        <v>435.28742</v>
      </c>
      <c r="H224" s="15">
        <v>10266.929695999999</v>
      </c>
      <c r="I224" s="15">
        <v>16588.675639000001</v>
      </c>
      <c r="J224" s="15">
        <v>14439.261130000001</v>
      </c>
      <c r="K224" s="15">
        <v>259.44251400000002</v>
      </c>
      <c r="L224" s="15">
        <v>1538.205661</v>
      </c>
      <c r="M224" s="17">
        <f t="shared" si="55"/>
        <v>60.660392000000002</v>
      </c>
      <c r="N224" s="15">
        <v>1477.545269</v>
      </c>
      <c r="O224" s="18">
        <f>10+7.5</f>
        <v>17.5</v>
      </c>
      <c r="P224" s="18">
        <v>0</v>
      </c>
      <c r="Q224" s="19">
        <f t="shared" ref="Q224" si="58">SUM(O224:P224)</f>
        <v>17.5</v>
      </c>
      <c r="R224" s="18">
        <v>12.3</v>
      </c>
      <c r="S224" s="20">
        <v>258</v>
      </c>
    </row>
    <row r="225" spans="1:19" ht="15.75" x14ac:dyDescent="0.25">
      <c r="A225" s="22">
        <f t="shared" si="57"/>
        <v>32</v>
      </c>
      <c r="B225" s="22" t="s">
        <v>452</v>
      </c>
      <c r="C225" s="13" t="s">
        <v>453</v>
      </c>
      <c r="D225" s="14">
        <v>45473</v>
      </c>
      <c r="E225" s="15">
        <v>488.09399999999999</v>
      </c>
      <c r="F225" s="16">
        <v>10</v>
      </c>
      <c r="G225" s="17">
        <f t="shared" si="54"/>
        <v>48.809399999999997</v>
      </c>
      <c r="H225" s="15">
        <v>12135.012000000001</v>
      </c>
      <c r="I225" s="15">
        <v>22846.953000000001</v>
      </c>
      <c r="J225" s="15">
        <v>29744.29</v>
      </c>
      <c r="K225" s="15">
        <v>407.34300000000002</v>
      </c>
      <c r="L225" s="15">
        <v>1744.4269999999999</v>
      </c>
      <c r="M225" s="17">
        <f t="shared" si="55"/>
        <v>738.0089999999999</v>
      </c>
      <c r="N225" s="15">
        <v>1006.418</v>
      </c>
      <c r="O225" s="18">
        <v>50</v>
      </c>
      <c r="P225" s="18">
        <v>0</v>
      </c>
      <c r="Q225" s="19">
        <f t="shared" si="56"/>
        <v>50</v>
      </c>
      <c r="R225" s="18"/>
      <c r="S225" s="20">
        <v>715</v>
      </c>
    </row>
    <row r="226" spans="1:19" ht="15.75" x14ac:dyDescent="0.25">
      <c r="A226" s="22">
        <f t="shared" si="57"/>
        <v>33</v>
      </c>
      <c r="B226" s="22" t="s">
        <v>454</v>
      </c>
      <c r="C226" s="13" t="s">
        <v>455</v>
      </c>
      <c r="D226" s="14">
        <v>45473</v>
      </c>
      <c r="E226" s="15">
        <v>170</v>
      </c>
      <c r="F226" s="16">
        <v>10</v>
      </c>
      <c r="G226" s="17">
        <f t="shared" si="54"/>
        <v>17</v>
      </c>
      <c r="H226" s="15">
        <v>8739.7782060000009</v>
      </c>
      <c r="I226" s="15">
        <v>11934.731811</v>
      </c>
      <c r="J226" s="15">
        <v>12314.921073</v>
      </c>
      <c r="K226" s="15">
        <v>31.101932000000001</v>
      </c>
      <c r="L226" s="15">
        <v>633.97808399999997</v>
      </c>
      <c r="M226" s="17">
        <f t="shared" si="55"/>
        <v>74.476456999999982</v>
      </c>
      <c r="N226" s="15">
        <v>559.50162699999998</v>
      </c>
      <c r="O226" s="18">
        <v>80</v>
      </c>
      <c r="P226" s="18">
        <v>0</v>
      </c>
      <c r="Q226" s="19">
        <f t="shared" si="56"/>
        <v>80</v>
      </c>
      <c r="R226" s="18"/>
      <c r="S226" s="20">
        <v>1227</v>
      </c>
    </row>
    <row r="227" spans="1:19" ht="15.75" x14ac:dyDescent="0.25">
      <c r="A227" s="22">
        <f t="shared" si="57"/>
        <v>34</v>
      </c>
      <c r="B227" s="22" t="s">
        <v>456</v>
      </c>
      <c r="C227" s="13" t="s">
        <v>457</v>
      </c>
      <c r="D227" s="14">
        <v>45473</v>
      </c>
      <c r="E227" s="15">
        <v>1914.21099</v>
      </c>
      <c r="F227" s="16">
        <v>10</v>
      </c>
      <c r="G227" s="17">
        <f t="shared" si="54"/>
        <v>191.421099</v>
      </c>
      <c r="H227" s="15">
        <v>16012.145079</v>
      </c>
      <c r="I227" s="15">
        <f>15649.792334+13690.825884</f>
        <v>29340.618218</v>
      </c>
      <c r="J227" s="15">
        <v>37741.817074999999</v>
      </c>
      <c r="K227" s="15">
        <v>1484.845499</v>
      </c>
      <c r="L227" s="15">
        <v>592.26041199999997</v>
      </c>
      <c r="M227" s="17">
        <f t="shared" si="55"/>
        <v>-42.811500000000024</v>
      </c>
      <c r="N227" s="15">
        <v>635.071912</v>
      </c>
      <c r="O227" s="18">
        <v>0</v>
      </c>
      <c r="P227" s="18">
        <v>0</v>
      </c>
      <c r="Q227" s="19">
        <f t="shared" si="56"/>
        <v>0</v>
      </c>
      <c r="R227" s="18"/>
      <c r="S227" s="20">
        <v>3181</v>
      </c>
    </row>
    <row r="228" spans="1:19" ht="15.75" x14ac:dyDescent="0.25">
      <c r="A228" s="22">
        <v>1</v>
      </c>
      <c r="B228" s="22" t="s">
        <v>458</v>
      </c>
      <c r="C228" s="13" t="s">
        <v>459</v>
      </c>
      <c r="D228" s="14">
        <v>45473</v>
      </c>
      <c r="E228" s="15"/>
      <c r="F228" s="16">
        <v>10</v>
      </c>
      <c r="G228" s="17">
        <f t="shared" ref="G228:G243" si="59">+E228/F228</f>
        <v>0</v>
      </c>
      <c r="H228" s="15"/>
      <c r="I228" s="15"/>
      <c r="J228" s="15"/>
      <c r="K228" s="15"/>
      <c r="L228" s="15"/>
      <c r="M228" s="17">
        <f t="shared" ref="M228:M243" si="60">+L228-N228</f>
        <v>0</v>
      </c>
      <c r="N228" s="15"/>
      <c r="O228" s="18"/>
      <c r="P228" s="18"/>
      <c r="Q228" s="19">
        <f t="shared" ref="Q228:Q243" si="61">SUM(O228:P228)</f>
        <v>0</v>
      </c>
      <c r="R228" s="18"/>
      <c r="S228" s="20"/>
    </row>
    <row r="229" spans="1:19" ht="15.75" x14ac:dyDescent="0.25">
      <c r="A229" s="22">
        <f>+A228+1</f>
        <v>2</v>
      </c>
      <c r="B229" s="22" t="s">
        <v>460</v>
      </c>
      <c r="C229" s="13" t="s">
        <v>461</v>
      </c>
      <c r="D229" s="14">
        <v>45473</v>
      </c>
      <c r="E229" s="15">
        <v>20</v>
      </c>
      <c r="F229" s="16">
        <v>10</v>
      </c>
      <c r="G229" s="17">
        <f t="shared" si="59"/>
        <v>2</v>
      </c>
      <c r="H229" s="15">
        <v>566.606224</v>
      </c>
      <c r="I229" s="15">
        <v>598.65000499999996</v>
      </c>
      <c r="J229" s="15">
        <v>0</v>
      </c>
      <c r="K229" s="15">
        <v>6.6100000000000002E-4</v>
      </c>
      <c r="L229" s="15">
        <v>-19.904921999999999</v>
      </c>
      <c r="M229" s="17">
        <f t="shared" si="60"/>
        <v>0</v>
      </c>
      <c r="N229" s="15">
        <v>-19.904921999999999</v>
      </c>
      <c r="O229" s="18">
        <v>0</v>
      </c>
      <c r="P229" s="18">
        <v>0</v>
      </c>
      <c r="Q229" s="19">
        <f t="shared" si="61"/>
        <v>0</v>
      </c>
      <c r="R229" s="18"/>
      <c r="S229" s="20">
        <v>132</v>
      </c>
    </row>
    <row r="230" spans="1:19" ht="15.75" x14ac:dyDescent="0.25">
      <c r="A230" s="22">
        <f t="shared" ref="A230:A243" si="62">+A229+1</f>
        <v>3</v>
      </c>
      <c r="B230" s="22" t="s">
        <v>462</v>
      </c>
      <c r="C230" s="13" t="s">
        <v>463</v>
      </c>
      <c r="D230" s="14">
        <v>45473</v>
      </c>
      <c r="E230" s="15"/>
      <c r="F230" s="16">
        <v>10</v>
      </c>
      <c r="G230" s="17">
        <f t="shared" si="59"/>
        <v>0</v>
      </c>
      <c r="H230" s="15"/>
      <c r="I230" s="15"/>
      <c r="J230" s="15"/>
      <c r="K230" s="15"/>
      <c r="L230" s="15"/>
      <c r="M230" s="17">
        <f t="shared" si="60"/>
        <v>0</v>
      </c>
      <c r="N230" s="15"/>
      <c r="O230" s="18"/>
      <c r="P230" s="18"/>
      <c r="Q230" s="19">
        <f t="shared" si="61"/>
        <v>0</v>
      </c>
      <c r="R230" s="18"/>
      <c r="S230" s="20"/>
    </row>
    <row r="231" spans="1:19" ht="15.75" x14ac:dyDescent="0.25">
      <c r="A231" s="22">
        <f t="shared" si="62"/>
        <v>4</v>
      </c>
      <c r="B231" s="22" t="s">
        <v>464</v>
      </c>
      <c r="C231" s="13" t="s">
        <v>465</v>
      </c>
      <c r="D231" s="14">
        <v>45473</v>
      </c>
      <c r="E231" s="15">
        <v>132.71600000000001</v>
      </c>
      <c r="F231" s="16">
        <v>10</v>
      </c>
      <c r="G231" s="17">
        <f t="shared" si="59"/>
        <v>13.271600000000001</v>
      </c>
      <c r="H231" s="15">
        <v>373.82970499999999</v>
      </c>
      <c r="I231" s="15">
        <v>730.31949499999996</v>
      </c>
      <c r="J231" s="15">
        <v>771.55020200000001</v>
      </c>
      <c r="K231" s="15">
        <v>1.213E-2</v>
      </c>
      <c r="L231" s="15">
        <v>-24.572482000000001</v>
      </c>
      <c r="M231" s="17">
        <f t="shared" si="60"/>
        <v>1.6718329999999995</v>
      </c>
      <c r="N231" s="15">
        <v>-26.244315</v>
      </c>
      <c r="O231" s="18">
        <v>0</v>
      </c>
      <c r="P231" s="18">
        <v>0</v>
      </c>
      <c r="Q231" s="19">
        <f t="shared" si="61"/>
        <v>0</v>
      </c>
      <c r="R231" s="18"/>
      <c r="S231" s="20">
        <v>296</v>
      </c>
    </row>
    <row r="232" spans="1:19" ht="15.75" x14ac:dyDescent="0.25">
      <c r="A232" s="22">
        <f t="shared" si="62"/>
        <v>5</v>
      </c>
      <c r="B232" s="22" t="s">
        <v>466</v>
      </c>
      <c r="C232" s="21" t="s">
        <v>467</v>
      </c>
      <c r="D232" s="14">
        <v>45473</v>
      </c>
      <c r="E232" s="15">
        <v>324.91205000000002</v>
      </c>
      <c r="F232" s="16">
        <v>10</v>
      </c>
      <c r="G232" s="17">
        <f t="shared" si="59"/>
        <v>32.491205000000001</v>
      </c>
      <c r="H232" s="15">
        <v>1000.56101</v>
      </c>
      <c r="I232" s="15">
        <v>1198.2154459999999</v>
      </c>
      <c r="J232" s="15">
        <v>10.940060000000001</v>
      </c>
      <c r="K232" s="15">
        <v>3.4225999999999999E-2</v>
      </c>
      <c r="L232" s="15">
        <v>144.67131599999999</v>
      </c>
      <c r="M232" s="17">
        <f t="shared" si="60"/>
        <v>-39.683368999999999</v>
      </c>
      <c r="N232" s="15">
        <v>184.35468499999999</v>
      </c>
      <c r="O232" s="18">
        <v>0</v>
      </c>
      <c r="P232" s="18">
        <v>0</v>
      </c>
      <c r="Q232" s="19">
        <f t="shared" si="61"/>
        <v>0</v>
      </c>
      <c r="R232" s="18"/>
      <c r="S232" s="20">
        <v>1538</v>
      </c>
    </row>
    <row r="233" spans="1:19" ht="15.75" x14ac:dyDescent="0.25">
      <c r="A233" s="22">
        <f t="shared" si="62"/>
        <v>6</v>
      </c>
      <c r="B233" s="22" t="s">
        <v>468</v>
      </c>
      <c r="C233" s="13" t="s">
        <v>469</v>
      </c>
      <c r="D233" s="14">
        <v>45473</v>
      </c>
      <c r="E233" s="15"/>
      <c r="F233" s="16">
        <v>10</v>
      </c>
      <c r="G233" s="17">
        <f t="shared" si="59"/>
        <v>0</v>
      </c>
      <c r="H233" s="15"/>
      <c r="I233" s="15"/>
      <c r="J233" s="15"/>
      <c r="K233" s="15"/>
      <c r="L233" s="15"/>
      <c r="M233" s="17">
        <f t="shared" si="60"/>
        <v>0</v>
      </c>
      <c r="N233" s="15"/>
      <c r="O233" s="18"/>
      <c r="P233" s="18"/>
      <c r="Q233" s="19">
        <f t="shared" si="61"/>
        <v>0</v>
      </c>
      <c r="R233" s="18"/>
      <c r="S233" s="20"/>
    </row>
    <row r="234" spans="1:19" ht="15.75" x14ac:dyDescent="0.25">
      <c r="A234" s="22">
        <f t="shared" si="62"/>
        <v>7</v>
      </c>
      <c r="B234" s="22" t="s">
        <v>470</v>
      </c>
      <c r="C234" s="13" t="s">
        <v>471</v>
      </c>
      <c r="D234" s="14">
        <v>45473</v>
      </c>
      <c r="E234" s="15"/>
      <c r="F234" s="16">
        <v>10</v>
      </c>
      <c r="G234" s="17">
        <f t="shared" si="59"/>
        <v>0</v>
      </c>
      <c r="H234" s="15"/>
      <c r="I234" s="15"/>
      <c r="J234" s="15"/>
      <c r="K234" s="15"/>
      <c r="L234" s="15"/>
      <c r="M234" s="17">
        <f t="shared" si="60"/>
        <v>0</v>
      </c>
      <c r="N234" s="15"/>
      <c r="O234" s="18"/>
      <c r="P234" s="18"/>
      <c r="Q234" s="19">
        <f t="shared" si="61"/>
        <v>0</v>
      </c>
      <c r="R234" s="18"/>
      <c r="S234" s="20"/>
    </row>
    <row r="235" spans="1:19" ht="15.75" x14ac:dyDescent="0.25">
      <c r="A235" s="22">
        <f t="shared" si="62"/>
        <v>8</v>
      </c>
      <c r="B235" s="22" t="s">
        <v>472</v>
      </c>
      <c r="C235" s="13" t="s">
        <v>473</v>
      </c>
      <c r="D235" s="14">
        <v>45473</v>
      </c>
      <c r="E235" s="15">
        <v>54</v>
      </c>
      <c r="F235" s="16">
        <v>10</v>
      </c>
      <c r="G235" s="17">
        <f t="shared" si="59"/>
        <v>5.4</v>
      </c>
      <c r="H235" s="15">
        <v>219.312558</v>
      </c>
      <c r="I235" s="15">
        <v>274.345933</v>
      </c>
      <c r="J235" s="15">
        <v>0</v>
      </c>
      <c r="K235" s="15">
        <v>7.54E-4</v>
      </c>
      <c r="L235" s="15">
        <v>0.116414</v>
      </c>
      <c r="M235" s="17">
        <f t="shared" si="60"/>
        <v>2.075507</v>
      </c>
      <c r="N235" s="15">
        <v>-1.959093</v>
      </c>
      <c r="O235" s="18">
        <v>0</v>
      </c>
      <c r="P235" s="18">
        <v>0</v>
      </c>
      <c r="Q235" s="19">
        <f t="shared" si="61"/>
        <v>0</v>
      </c>
      <c r="R235" s="18"/>
      <c r="S235" s="20">
        <v>611</v>
      </c>
    </row>
    <row r="236" spans="1:19" ht="15.75" x14ac:dyDescent="0.25">
      <c r="A236" s="22">
        <f t="shared" si="62"/>
        <v>9</v>
      </c>
      <c r="B236" s="22" t="s">
        <v>474</v>
      </c>
      <c r="C236" s="21" t="s">
        <v>475</v>
      </c>
      <c r="D236" s="14">
        <v>45473</v>
      </c>
      <c r="E236" s="24">
        <v>242</v>
      </c>
      <c r="F236" s="25">
        <v>10</v>
      </c>
      <c r="G236" s="26">
        <f t="shared" si="59"/>
        <v>24.2</v>
      </c>
      <c r="H236" s="24"/>
      <c r="I236" s="24"/>
      <c r="J236" s="24"/>
      <c r="K236" s="24"/>
      <c r="L236" s="24">
        <v>-59.645000000000003</v>
      </c>
      <c r="M236" s="26">
        <f t="shared" si="60"/>
        <v>-5.5670000000000002</v>
      </c>
      <c r="N236" s="24">
        <v>-54.078000000000003</v>
      </c>
      <c r="O236" s="27">
        <v>0</v>
      </c>
      <c r="P236" s="27">
        <v>0</v>
      </c>
      <c r="Q236" s="28">
        <f t="shared" si="61"/>
        <v>0</v>
      </c>
      <c r="R236" s="27"/>
      <c r="S236" s="29"/>
    </row>
    <row r="237" spans="1:19" ht="15.75" x14ac:dyDescent="0.25">
      <c r="A237" s="22">
        <f t="shared" si="62"/>
        <v>10</v>
      </c>
      <c r="B237" s="22" t="s">
        <v>476</v>
      </c>
      <c r="C237" s="13" t="s">
        <v>477</v>
      </c>
      <c r="D237" s="14">
        <v>45473</v>
      </c>
      <c r="E237" s="15">
        <v>173.52332899999999</v>
      </c>
      <c r="F237" s="16">
        <v>10</v>
      </c>
      <c r="G237" s="17">
        <f t="shared" si="59"/>
        <v>17.3523329</v>
      </c>
      <c r="H237" s="15">
        <v>-588.89304000000004</v>
      </c>
      <c r="I237" s="15">
        <v>40.770395000000001</v>
      </c>
      <c r="J237" s="15">
        <v>0</v>
      </c>
      <c r="K237" s="15">
        <v>4.7780000000000001E-3</v>
      </c>
      <c r="L237" s="15">
        <v>14.086001</v>
      </c>
      <c r="M237" s="17">
        <f t="shared" si="60"/>
        <v>0</v>
      </c>
      <c r="N237" s="15">
        <v>14.086001</v>
      </c>
      <c r="O237" s="18">
        <v>0</v>
      </c>
      <c r="P237" s="18">
        <v>0</v>
      </c>
      <c r="Q237" s="19">
        <f t="shared" si="61"/>
        <v>0</v>
      </c>
      <c r="R237" s="18"/>
      <c r="S237" s="20">
        <v>2888</v>
      </c>
    </row>
    <row r="238" spans="1:19" ht="15.75" x14ac:dyDescent="0.25">
      <c r="A238" s="22">
        <f t="shared" si="62"/>
        <v>11</v>
      </c>
      <c r="B238" s="22" t="s">
        <v>478</v>
      </c>
      <c r="C238" s="13" t="s">
        <v>479</v>
      </c>
      <c r="D238" s="14">
        <v>45473</v>
      </c>
      <c r="E238" s="15">
        <v>130</v>
      </c>
      <c r="F238" s="16">
        <v>10</v>
      </c>
      <c r="G238" s="17">
        <f>+E238/F238</f>
        <v>13</v>
      </c>
      <c r="H238" s="15">
        <v>3270.1016089999998</v>
      </c>
      <c r="I238" s="15">
        <v>14848.707942999999</v>
      </c>
      <c r="J238" s="15">
        <v>888.78026899999998</v>
      </c>
      <c r="K238" s="15">
        <v>7.8091819999999998</v>
      </c>
      <c r="L238" s="15">
        <v>-703.59904700000004</v>
      </c>
      <c r="M238" s="17">
        <f>+L238-N238</f>
        <v>0.25191899999992984</v>
      </c>
      <c r="N238" s="15">
        <v>-703.85096599999997</v>
      </c>
      <c r="O238" s="18">
        <v>0</v>
      </c>
      <c r="P238" s="18">
        <v>0</v>
      </c>
      <c r="Q238" s="19">
        <f>SUM(O238:P238)</f>
        <v>0</v>
      </c>
      <c r="R238" s="18"/>
      <c r="S238" s="20">
        <v>388</v>
      </c>
    </row>
    <row r="239" spans="1:19" ht="15.75" x14ac:dyDescent="0.25">
      <c r="A239" s="22">
        <f t="shared" si="62"/>
        <v>12</v>
      </c>
      <c r="B239" s="22" t="s">
        <v>480</v>
      </c>
      <c r="C239" s="13" t="s">
        <v>481</v>
      </c>
      <c r="D239" s="14">
        <v>45473</v>
      </c>
      <c r="E239" s="15"/>
      <c r="F239" s="16">
        <v>10</v>
      </c>
      <c r="G239" s="17">
        <f t="shared" si="59"/>
        <v>0</v>
      </c>
      <c r="H239" s="15"/>
      <c r="I239" s="15"/>
      <c r="J239" s="15"/>
      <c r="K239" s="15"/>
      <c r="L239" s="15"/>
      <c r="M239" s="17">
        <f t="shared" si="60"/>
        <v>0</v>
      </c>
      <c r="N239" s="15"/>
      <c r="O239" s="18"/>
      <c r="P239" s="18"/>
      <c r="Q239" s="19">
        <f t="shared" si="61"/>
        <v>0</v>
      </c>
      <c r="R239" s="18"/>
      <c r="S239" s="20"/>
    </row>
    <row r="240" spans="1:19" ht="15.75" x14ac:dyDescent="0.25">
      <c r="A240" s="22">
        <f t="shared" si="62"/>
        <v>13</v>
      </c>
      <c r="B240" s="22" t="s">
        <v>482</v>
      </c>
      <c r="C240" s="13" t="s">
        <v>483</v>
      </c>
      <c r="D240" s="14">
        <v>45473</v>
      </c>
      <c r="E240" s="15"/>
      <c r="F240" s="16">
        <v>10</v>
      </c>
      <c r="G240" s="17">
        <f t="shared" si="59"/>
        <v>0</v>
      </c>
      <c r="H240" s="15"/>
      <c r="I240" s="15"/>
      <c r="J240" s="15"/>
      <c r="K240" s="15"/>
      <c r="L240" s="15"/>
      <c r="M240" s="17">
        <f t="shared" si="60"/>
        <v>0</v>
      </c>
      <c r="N240" s="15"/>
      <c r="O240" s="18"/>
      <c r="P240" s="18"/>
      <c r="Q240" s="19">
        <f t="shared" si="61"/>
        <v>0</v>
      </c>
      <c r="R240" s="18"/>
      <c r="S240" s="20"/>
    </row>
    <row r="241" spans="1:19" ht="15.75" x14ac:dyDescent="0.25">
      <c r="A241" s="22">
        <f t="shared" si="62"/>
        <v>14</v>
      </c>
      <c r="B241" s="22" t="s">
        <v>484</v>
      </c>
      <c r="C241" s="13" t="s">
        <v>485</v>
      </c>
      <c r="D241" s="14">
        <v>45473</v>
      </c>
      <c r="E241" s="15"/>
      <c r="F241" s="16">
        <v>10</v>
      </c>
      <c r="G241" s="17">
        <f t="shared" si="59"/>
        <v>0</v>
      </c>
      <c r="H241" s="15"/>
      <c r="I241" s="15"/>
      <c r="J241" s="15"/>
      <c r="K241" s="15"/>
      <c r="L241" s="15"/>
      <c r="M241" s="17">
        <f t="shared" si="60"/>
        <v>0</v>
      </c>
      <c r="N241" s="15"/>
      <c r="O241" s="18"/>
      <c r="P241" s="18"/>
      <c r="Q241" s="19">
        <f t="shared" si="61"/>
        <v>0</v>
      </c>
      <c r="R241" s="18"/>
      <c r="S241" s="20"/>
    </row>
    <row r="242" spans="1:19" ht="15.75" x14ac:dyDescent="0.25">
      <c r="A242" s="22">
        <f t="shared" si="62"/>
        <v>15</v>
      </c>
      <c r="B242" s="22" t="s">
        <v>486</v>
      </c>
      <c r="C242" s="13" t="s">
        <v>487</v>
      </c>
      <c r="D242" s="14">
        <v>45473</v>
      </c>
      <c r="E242" s="15"/>
      <c r="F242" s="16">
        <v>10</v>
      </c>
      <c r="G242" s="17">
        <f t="shared" si="59"/>
        <v>0</v>
      </c>
      <c r="H242" s="15"/>
      <c r="I242" s="15"/>
      <c r="J242" s="15"/>
      <c r="K242" s="15"/>
      <c r="L242" s="15"/>
      <c r="M242" s="17">
        <f t="shared" si="60"/>
        <v>0</v>
      </c>
      <c r="N242" s="15"/>
      <c r="O242" s="18"/>
      <c r="P242" s="18"/>
      <c r="Q242" s="19">
        <f t="shared" si="61"/>
        <v>0</v>
      </c>
      <c r="R242" s="18"/>
      <c r="S242" s="20"/>
    </row>
    <row r="243" spans="1:19" ht="15.75" x14ac:dyDescent="0.25">
      <c r="A243" s="22">
        <f t="shared" si="62"/>
        <v>16</v>
      </c>
      <c r="B243" s="22" t="s">
        <v>488</v>
      </c>
      <c r="C243" s="13" t="s">
        <v>489</v>
      </c>
      <c r="D243" s="14">
        <v>45473</v>
      </c>
      <c r="E243" s="15">
        <v>98.6</v>
      </c>
      <c r="F243" s="16">
        <v>10</v>
      </c>
      <c r="G243" s="17">
        <f t="shared" si="59"/>
        <v>9.86</v>
      </c>
      <c r="H243" s="15">
        <v>-40.548690000000001</v>
      </c>
      <c r="I243" s="15">
        <v>72.311999999999998</v>
      </c>
      <c r="J243" s="15">
        <v>0</v>
      </c>
      <c r="K243" s="15">
        <v>2.0899999999999998E-3</v>
      </c>
      <c r="L243" s="15">
        <v>-1.2224790000000001</v>
      </c>
      <c r="M243" s="17">
        <f t="shared" si="60"/>
        <v>0</v>
      </c>
      <c r="N243" s="15">
        <v>-1.2224790000000001</v>
      </c>
      <c r="O243" s="18">
        <v>0</v>
      </c>
      <c r="P243" s="18">
        <v>0</v>
      </c>
      <c r="Q243" s="19">
        <f t="shared" si="61"/>
        <v>0</v>
      </c>
      <c r="R243" s="18"/>
      <c r="S243" s="20">
        <v>6129</v>
      </c>
    </row>
    <row r="244" spans="1:19" ht="15.75" x14ac:dyDescent="0.25">
      <c r="A244" s="22">
        <v>1</v>
      </c>
      <c r="B244" s="22" t="s">
        <v>490</v>
      </c>
      <c r="C244" s="13" t="s">
        <v>491</v>
      </c>
      <c r="D244" s="14">
        <v>45473</v>
      </c>
      <c r="E244" s="15">
        <v>95.0625</v>
      </c>
      <c r="F244" s="16">
        <v>10</v>
      </c>
      <c r="G244" s="17">
        <f>+E244/F244</f>
        <v>9.5062499999999996</v>
      </c>
      <c r="H244" s="15">
        <v>3133.0430000000001</v>
      </c>
      <c r="I244" s="15">
        <v>3891.2620000000002</v>
      </c>
      <c r="J244" s="15">
        <v>891.26800000000003</v>
      </c>
      <c r="K244" s="15">
        <v>92.248999999999995</v>
      </c>
      <c r="L244" s="15">
        <v>288.26499999999999</v>
      </c>
      <c r="M244" s="17">
        <f>+L244-N244</f>
        <v>-17.949000000000012</v>
      </c>
      <c r="N244" s="15">
        <v>306.214</v>
      </c>
      <c r="O244" s="18">
        <v>0</v>
      </c>
      <c r="P244" s="18">
        <v>0</v>
      </c>
      <c r="Q244" s="19">
        <f>SUM(O244:P244)</f>
        <v>0</v>
      </c>
      <c r="R244" s="18"/>
      <c r="S244" s="20">
        <v>1096</v>
      </c>
    </row>
    <row r="245" spans="1:19" ht="15.75" x14ac:dyDescent="0.25">
      <c r="A245" s="22">
        <v>1</v>
      </c>
      <c r="B245" s="22" t="s">
        <v>492</v>
      </c>
      <c r="C245" s="13" t="s">
        <v>493</v>
      </c>
      <c r="D245" s="14">
        <v>45473</v>
      </c>
      <c r="E245" s="15">
        <v>1087.2896000000001</v>
      </c>
      <c r="F245" s="16">
        <v>10</v>
      </c>
      <c r="G245" s="17">
        <f t="shared" ref="G245:G250" si="63">+E245/F245</f>
        <v>108.72896</v>
      </c>
      <c r="H245" s="15">
        <v>13287.163</v>
      </c>
      <c r="I245" s="15">
        <v>34588.885999999999</v>
      </c>
      <c r="J245" s="15">
        <v>34013.580999999998</v>
      </c>
      <c r="K245" s="15">
        <v>1494.587</v>
      </c>
      <c r="L245" s="15">
        <v>-517.95799999999997</v>
      </c>
      <c r="M245" s="17">
        <f t="shared" ref="M245:M250" si="64">+L245-N245</f>
        <v>-313.59999999999997</v>
      </c>
      <c r="N245" s="15">
        <v>-204.358</v>
      </c>
      <c r="O245" s="18">
        <v>0</v>
      </c>
      <c r="P245" s="18">
        <v>0</v>
      </c>
      <c r="Q245" s="19">
        <f t="shared" ref="Q245:Q250" si="65">SUM(O245:P245)</f>
        <v>0</v>
      </c>
      <c r="R245" s="18">
        <v>41.71</v>
      </c>
      <c r="S245" s="20">
        <v>1435</v>
      </c>
    </row>
    <row r="246" spans="1:19" ht="15.75" x14ac:dyDescent="0.25">
      <c r="A246" s="22">
        <f t="shared" ref="A246:A250" si="66">+A245+1</f>
        <v>2</v>
      </c>
      <c r="B246" s="22" t="s">
        <v>494</v>
      </c>
      <c r="C246" s="13" t="s">
        <v>495</v>
      </c>
      <c r="D246" s="14">
        <v>45473</v>
      </c>
      <c r="E246" s="15"/>
      <c r="F246" s="16">
        <v>10</v>
      </c>
      <c r="G246" s="17">
        <f t="shared" si="63"/>
        <v>0</v>
      </c>
      <c r="H246" s="15"/>
      <c r="I246" s="15"/>
      <c r="J246" s="15"/>
      <c r="K246" s="15"/>
      <c r="L246" s="15"/>
      <c r="M246" s="17">
        <f t="shared" si="64"/>
        <v>0</v>
      </c>
      <c r="N246" s="15"/>
      <c r="O246" s="18"/>
      <c r="P246" s="18"/>
      <c r="Q246" s="19">
        <f t="shared" si="65"/>
        <v>0</v>
      </c>
      <c r="R246" s="18"/>
      <c r="S246" s="20"/>
    </row>
    <row r="247" spans="1:19" ht="15.75" x14ac:dyDescent="0.25">
      <c r="A247" s="22">
        <f t="shared" si="66"/>
        <v>3</v>
      </c>
      <c r="B247" s="22" t="s">
        <v>496</v>
      </c>
      <c r="C247" s="13" t="s">
        <v>497</v>
      </c>
      <c r="D247" s="14">
        <v>45473</v>
      </c>
      <c r="E247" s="15">
        <v>2303.6965</v>
      </c>
      <c r="F247" s="16">
        <v>10</v>
      </c>
      <c r="G247" s="17">
        <f t="shared" si="63"/>
        <v>230.36965000000001</v>
      </c>
      <c r="H247" s="15">
        <v>3520.7920720000002</v>
      </c>
      <c r="I247" s="15">
        <v>4795.0745269999998</v>
      </c>
      <c r="J247" s="15">
        <v>2946.997664</v>
      </c>
      <c r="K247" s="15">
        <v>95.621779000000004</v>
      </c>
      <c r="L247" s="15">
        <v>367.18121000000002</v>
      </c>
      <c r="M247" s="17">
        <f t="shared" si="64"/>
        <v>81.236221999999998</v>
      </c>
      <c r="N247" s="15">
        <v>285.94498800000002</v>
      </c>
      <c r="O247" s="18">
        <v>0</v>
      </c>
      <c r="P247" s="18">
        <v>0</v>
      </c>
      <c r="Q247" s="19">
        <f t="shared" si="65"/>
        <v>0</v>
      </c>
      <c r="R247" s="18">
        <v>75</v>
      </c>
      <c r="S247" s="20">
        <v>6685</v>
      </c>
    </row>
    <row r="248" spans="1:19" ht="15.75" x14ac:dyDescent="0.25">
      <c r="A248" s="22">
        <f t="shared" si="66"/>
        <v>4</v>
      </c>
      <c r="B248" s="22" t="s">
        <v>498</v>
      </c>
      <c r="C248" s="13" t="s">
        <v>499</v>
      </c>
      <c r="D248" s="14">
        <v>45473</v>
      </c>
      <c r="E248" s="15">
        <v>155.53174000000001</v>
      </c>
      <c r="F248" s="16">
        <v>10</v>
      </c>
      <c r="G248" s="17">
        <f t="shared" si="63"/>
        <v>15.553174000000002</v>
      </c>
      <c r="H248" s="15">
        <v>1470.861314</v>
      </c>
      <c r="I248" s="15">
        <v>2182.4040660000001</v>
      </c>
      <c r="J248" s="15">
        <v>2154.2038689999999</v>
      </c>
      <c r="K248" s="15">
        <v>1.4067529999999999</v>
      </c>
      <c r="L248" s="15">
        <v>95.667086999999995</v>
      </c>
      <c r="M248" s="17">
        <f t="shared" si="64"/>
        <v>29.363551999999999</v>
      </c>
      <c r="N248" s="15">
        <v>66.303534999999997</v>
      </c>
      <c r="O248" s="18">
        <v>0</v>
      </c>
      <c r="P248" s="18">
        <v>0</v>
      </c>
      <c r="Q248" s="19">
        <f t="shared" si="65"/>
        <v>0</v>
      </c>
      <c r="R248" s="18"/>
      <c r="S248" s="20">
        <v>600</v>
      </c>
    </row>
    <row r="249" spans="1:19" ht="15.75" x14ac:dyDescent="0.25">
      <c r="A249" s="22">
        <f t="shared" si="66"/>
        <v>5</v>
      </c>
      <c r="B249" s="22" t="s">
        <v>500</v>
      </c>
      <c r="C249" s="13" t="s">
        <v>501</v>
      </c>
      <c r="D249" s="14">
        <v>45473</v>
      </c>
      <c r="E249" s="15">
        <v>1386.99</v>
      </c>
      <c r="F249" s="16">
        <v>10</v>
      </c>
      <c r="G249" s="17">
        <f t="shared" si="63"/>
        <v>138.69900000000001</v>
      </c>
      <c r="H249" s="15">
        <v>4260.518</v>
      </c>
      <c r="I249" s="15">
        <v>11160.468999999999</v>
      </c>
      <c r="J249" s="15">
        <v>13799.512000000001</v>
      </c>
      <c r="K249" s="15">
        <v>844.303</v>
      </c>
      <c r="L249" s="15">
        <v>557.46100000000001</v>
      </c>
      <c r="M249" s="17">
        <f t="shared" si="64"/>
        <v>209.69600000000003</v>
      </c>
      <c r="N249" s="15">
        <v>347.76499999999999</v>
      </c>
      <c r="O249" s="18">
        <v>0</v>
      </c>
      <c r="P249" s="18">
        <v>0</v>
      </c>
      <c r="Q249" s="19">
        <f t="shared" si="65"/>
        <v>0</v>
      </c>
      <c r="R249" s="18"/>
      <c r="S249" s="20">
        <v>1405</v>
      </c>
    </row>
    <row r="250" spans="1:19" ht="15.75" x14ac:dyDescent="0.25">
      <c r="A250" s="22">
        <f t="shared" si="66"/>
        <v>6</v>
      </c>
      <c r="B250" s="22" t="s">
        <v>502</v>
      </c>
      <c r="C250" s="13" t="s">
        <v>503</v>
      </c>
      <c r="D250" s="14">
        <v>45473</v>
      </c>
      <c r="E250" s="15">
        <v>340.685</v>
      </c>
      <c r="F250" s="16">
        <v>10</v>
      </c>
      <c r="G250" s="17">
        <f t="shared" si="63"/>
        <v>34.0685</v>
      </c>
      <c r="H250" s="15">
        <v>6607.5439999999999</v>
      </c>
      <c r="I250" s="15">
        <v>13296.54</v>
      </c>
      <c r="J250" s="15">
        <v>10485.055</v>
      </c>
      <c r="K250" s="15">
        <v>632.97500000000002</v>
      </c>
      <c r="L250" s="15">
        <v>-890.58500000000004</v>
      </c>
      <c r="M250" s="17">
        <f t="shared" si="64"/>
        <v>-68.080000000000041</v>
      </c>
      <c r="N250" s="15">
        <v>-822.505</v>
      </c>
      <c r="O250" s="18">
        <v>0</v>
      </c>
      <c r="P250" s="18">
        <v>0</v>
      </c>
      <c r="Q250" s="19">
        <f t="shared" si="65"/>
        <v>0</v>
      </c>
      <c r="R250" s="18"/>
      <c r="S250" s="20">
        <v>671</v>
      </c>
    </row>
    <row r="251" spans="1:19" ht="15.75" x14ac:dyDescent="0.25">
      <c r="A251" s="22">
        <v>1</v>
      </c>
      <c r="B251" s="12" t="s">
        <v>504</v>
      </c>
      <c r="C251" s="13" t="s">
        <v>505</v>
      </c>
      <c r="D251" s="14">
        <v>45473</v>
      </c>
      <c r="E251" s="15">
        <v>134.09549999999999</v>
      </c>
      <c r="F251" s="16">
        <v>10</v>
      </c>
      <c r="G251" s="17">
        <f t="shared" ref="G251:G256" si="67">+E251/F251</f>
        <v>13.409549999999999</v>
      </c>
      <c r="H251" s="15">
        <v>138.511797</v>
      </c>
      <c r="I251" s="15">
        <v>2529.45649</v>
      </c>
      <c r="J251" s="15">
        <v>0</v>
      </c>
      <c r="K251" s="15">
        <v>5.7171E-2</v>
      </c>
      <c r="L251" s="15">
        <v>116.159432</v>
      </c>
      <c r="M251" s="17">
        <f t="shared" ref="M251:M256" si="68">+L251-N251</f>
        <v>0</v>
      </c>
      <c r="N251" s="15">
        <v>116.159432</v>
      </c>
      <c r="O251" s="18">
        <v>0</v>
      </c>
      <c r="P251" s="18">
        <v>0</v>
      </c>
      <c r="Q251" s="19">
        <f t="shared" ref="Q251:Q256" si="69">SUM(O251:P251)</f>
        <v>0</v>
      </c>
      <c r="R251" s="18"/>
      <c r="S251" s="20">
        <v>708</v>
      </c>
    </row>
    <row r="252" spans="1:19" ht="15.75" x14ac:dyDescent="0.25">
      <c r="A252" s="22">
        <f>+A251+1</f>
        <v>2</v>
      </c>
      <c r="B252" s="22" t="s">
        <v>506</v>
      </c>
      <c r="C252" s="13" t="s">
        <v>507</v>
      </c>
      <c r="D252" s="14">
        <v>45473</v>
      </c>
      <c r="E252" s="15">
        <v>3663.2108499999999</v>
      </c>
      <c r="F252" s="16">
        <v>10</v>
      </c>
      <c r="G252" s="17">
        <f t="shared" si="67"/>
        <v>366.32108499999998</v>
      </c>
      <c r="H252" s="15"/>
      <c r="I252" s="15"/>
      <c r="J252" s="15"/>
      <c r="K252" s="15"/>
      <c r="L252" s="15">
        <v>-275.66699999999997</v>
      </c>
      <c r="M252" s="17">
        <f t="shared" si="68"/>
        <v>-71.05699999999996</v>
      </c>
      <c r="N252" s="15">
        <v>-204.61</v>
      </c>
      <c r="O252" s="18">
        <v>0</v>
      </c>
      <c r="P252" s="18">
        <v>0</v>
      </c>
      <c r="Q252" s="19">
        <f t="shared" si="69"/>
        <v>0</v>
      </c>
      <c r="R252" s="18"/>
      <c r="S252" s="20"/>
    </row>
    <row r="253" spans="1:19" ht="15.75" x14ac:dyDescent="0.25">
      <c r="A253" s="22">
        <f t="shared" ref="A253:A254" si="70">+A252+1</f>
        <v>3</v>
      </c>
      <c r="B253" s="22" t="s">
        <v>508</v>
      </c>
      <c r="C253" s="13" t="s">
        <v>509</v>
      </c>
      <c r="D253" s="14">
        <v>45473</v>
      </c>
      <c r="E253" s="15"/>
      <c r="F253" s="16">
        <v>10</v>
      </c>
      <c r="G253" s="17">
        <f t="shared" si="67"/>
        <v>0</v>
      </c>
      <c r="H253" s="15"/>
      <c r="I253" s="15"/>
      <c r="J253" s="15"/>
      <c r="K253" s="15"/>
      <c r="L253" s="15"/>
      <c r="M253" s="17">
        <f t="shared" si="68"/>
        <v>0</v>
      </c>
      <c r="N253" s="15"/>
      <c r="O253" s="18"/>
      <c r="P253" s="18"/>
      <c r="Q253" s="19">
        <f t="shared" si="69"/>
        <v>0</v>
      </c>
      <c r="R253" s="18"/>
      <c r="S253" s="20"/>
    </row>
    <row r="254" spans="1:19" ht="15.75" x14ac:dyDescent="0.25">
      <c r="A254" s="22">
        <f t="shared" si="70"/>
        <v>4</v>
      </c>
      <c r="B254" s="22" t="s">
        <v>510</v>
      </c>
      <c r="C254" s="13" t="s">
        <v>511</v>
      </c>
      <c r="D254" s="14">
        <v>45473</v>
      </c>
      <c r="E254" s="15">
        <v>150</v>
      </c>
      <c r="F254" s="16">
        <v>10</v>
      </c>
      <c r="G254" s="17">
        <f t="shared" si="67"/>
        <v>15</v>
      </c>
      <c r="H254" s="15">
        <v>1197.8837699999999</v>
      </c>
      <c r="I254" s="15">
        <v>1518.540452</v>
      </c>
      <c r="J254" s="15">
        <v>57.198776000000002</v>
      </c>
      <c r="K254" s="15">
        <v>3.5687000000000003E-2</v>
      </c>
      <c r="L254" s="15">
        <v>-18.607059</v>
      </c>
      <c r="M254" s="17">
        <f t="shared" si="68"/>
        <v>-2.4685619999999986</v>
      </c>
      <c r="N254" s="15">
        <v>-16.138497000000001</v>
      </c>
      <c r="O254" s="18">
        <v>0</v>
      </c>
      <c r="P254" s="18">
        <v>0</v>
      </c>
      <c r="Q254" s="19">
        <f t="shared" si="69"/>
        <v>0</v>
      </c>
      <c r="R254" s="18"/>
      <c r="S254" s="20"/>
    </row>
    <row r="255" spans="1:19" ht="15.75" x14ac:dyDescent="0.25">
      <c r="A255" s="22">
        <v>1</v>
      </c>
      <c r="B255" s="22" t="s">
        <v>512</v>
      </c>
      <c r="C255" s="13" t="s">
        <v>513</v>
      </c>
      <c r="D255" s="14">
        <v>45473</v>
      </c>
      <c r="E255" s="15">
        <v>237.63468</v>
      </c>
      <c r="F255" s="16">
        <v>10</v>
      </c>
      <c r="G255" s="17">
        <f t="shared" si="67"/>
        <v>23.763468</v>
      </c>
      <c r="H255" s="15">
        <v>-195.96905799999999</v>
      </c>
      <c r="I255" s="15">
        <v>4.149572</v>
      </c>
      <c r="J255" s="15">
        <v>0</v>
      </c>
      <c r="K255" s="15">
        <v>1.0449999999999999E-2</v>
      </c>
      <c r="L255" s="15">
        <v>-7.3826660000000004</v>
      </c>
      <c r="M255" s="17">
        <f t="shared" si="68"/>
        <v>0</v>
      </c>
      <c r="N255" s="15">
        <v>-7.3826660000000004</v>
      </c>
      <c r="O255" s="18">
        <v>0</v>
      </c>
      <c r="P255" s="18">
        <v>0</v>
      </c>
      <c r="Q255" s="19">
        <f t="shared" si="69"/>
        <v>0</v>
      </c>
      <c r="R255" s="18"/>
      <c r="S255" s="20">
        <v>2149</v>
      </c>
    </row>
    <row r="256" spans="1:19" ht="15.75" x14ac:dyDescent="0.25">
      <c r="A256" s="22">
        <f>+A255+1</f>
        <v>2</v>
      </c>
      <c r="B256" s="22" t="s">
        <v>514</v>
      </c>
      <c r="C256" s="13" t="s">
        <v>515</v>
      </c>
      <c r="D256" s="14">
        <v>45473</v>
      </c>
      <c r="E256" s="15">
        <v>43.328189999999999</v>
      </c>
      <c r="F256" s="16">
        <v>10</v>
      </c>
      <c r="G256" s="17">
        <f t="shared" si="67"/>
        <v>4.3328189999999998</v>
      </c>
      <c r="H256" s="15">
        <v>809.57533599999999</v>
      </c>
      <c r="I256" s="15">
        <v>1658.7481620000001</v>
      </c>
      <c r="J256" s="15">
        <v>0</v>
      </c>
      <c r="K256" s="15">
        <v>2.63239</v>
      </c>
      <c r="L256" s="15">
        <v>-65.045745999999994</v>
      </c>
      <c r="M256" s="17">
        <f t="shared" si="68"/>
        <v>0</v>
      </c>
      <c r="N256" s="15">
        <v>-65.045745999999994</v>
      </c>
      <c r="O256" s="18">
        <v>0</v>
      </c>
      <c r="P256" s="18">
        <v>0</v>
      </c>
      <c r="Q256" s="19">
        <f t="shared" si="69"/>
        <v>0</v>
      </c>
      <c r="R256" s="18"/>
      <c r="S256" s="20">
        <v>1360</v>
      </c>
    </row>
    <row r="257" spans="1:19" ht="15.75" x14ac:dyDescent="0.25">
      <c r="A257" s="12">
        <v>1</v>
      </c>
      <c r="B257" s="12" t="s">
        <v>516</v>
      </c>
      <c r="C257" s="13" t="s">
        <v>517</v>
      </c>
      <c r="D257" s="14">
        <v>45565</v>
      </c>
      <c r="E257" s="15">
        <v>173.62299999999999</v>
      </c>
      <c r="F257" s="16">
        <v>10</v>
      </c>
      <c r="G257" s="17">
        <f t="shared" ref="G257:G280" si="71">+E257/F257</f>
        <v>17.362299999999998</v>
      </c>
      <c r="H257" s="15"/>
      <c r="I257" s="15"/>
      <c r="J257" s="15"/>
      <c r="K257" s="15"/>
      <c r="L257" s="15"/>
      <c r="M257" s="17">
        <f t="shared" ref="M257:M280" si="72">+L257-N257</f>
        <v>0</v>
      </c>
      <c r="N257" s="15"/>
      <c r="O257" s="18">
        <f>150+100</f>
        <v>250</v>
      </c>
      <c r="P257" s="18"/>
      <c r="Q257" s="19">
        <f t="shared" ref="Q257:Q280" si="73">SUM(O257:P257)</f>
        <v>250</v>
      </c>
      <c r="R257" s="18"/>
      <c r="S257" s="20"/>
    </row>
    <row r="258" spans="1:19" ht="15.75" x14ac:dyDescent="0.25">
      <c r="A258" s="12">
        <f>+A257+1</f>
        <v>2</v>
      </c>
      <c r="B258" s="12" t="s">
        <v>518</v>
      </c>
      <c r="C258" s="21" t="s">
        <v>519</v>
      </c>
      <c r="D258" s="14">
        <v>45565</v>
      </c>
      <c r="E258" s="15"/>
      <c r="F258" s="16">
        <v>10</v>
      </c>
      <c r="G258" s="17">
        <f t="shared" si="71"/>
        <v>0</v>
      </c>
      <c r="H258" s="15"/>
      <c r="I258" s="15"/>
      <c r="J258" s="15"/>
      <c r="K258" s="15"/>
      <c r="L258" s="15"/>
      <c r="M258" s="17">
        <f t="shared" si="72"/>
        <v>0</v>
      </c>
      <c r="N258" s="15"/>
      <c r="O258" s="18"/>
      <c r="P258" s="18"/>
      <c r="Q258" s="19">
        <f t="shared" si="73"/>
        <v>0</v>
      </c>
      <c r="R258" s="18"/>
      <c r="S258" s="20"/>
    </row>
    <row r="259" spans="1:19" ht="15.75" x14ac:dyDescent="0.25">
      <c r="A259" s="12">
        <f t="shared" ref="A259:A277" si="74">+A258+1</f>
        <v>3</v>
      </c>
      <c r="B259" s="12" t="s">
        <v>520</v>
      </c>
      <c r="C259" s="13" t="s">
        <v>521</v>
      </c>
      <c r="D259" s="14">
        <v>45565</v>
      </c>
      <c r="E259" s="15"/>
      <c r="F259" s="16">
        <v>10</v>
      </c>
      <c r="G259" s="17">
        <f t="shared" si="71"/>
        <v>0</v>
      </c>
      <c r="H259" s="15"/>
      <c r="I259" s="15"/>
      <c r="J259" s="15"/>
      <c r="K259" s="15"/>
      <c r="L259" s="15"/>
      <c r="M259" s="17">
        <f t="shared" si="72"/>
        <v>0</v>
      </c>
      <c r="N259" s="15"/>
      <c r="O259" s="18"/>
      <c r="P259" s="18"/>
      <c r="Q259" s="19">
        <f t="shared" si="73"/>
        <v>0</v>
      </c>
      <c r="R259" s="18"/>
      <c r="S259" s="20"/>
    </row>
    <row r="260" spans="1:19" ht="15.75" x14ac:dyDescent="0.25">
      <c r="A260" s="12">
        <f t="shared" si="74"/>
        <v>4</v>
      </c>
      <c r="B260" s="12" t="s">
        <v>522</v>
      </c>
      <c r="C260" s="13" t="s">
        <v>523</v>
      </c>
      <c r="D260" s="14">
        <v>45565</v>
      </c>
      <c r="E260" s="15"/>
      <c r="F260" s="16">
        <v>10</v>
      </c>
      <c r="G260" s="17">
        <f t="shared" si="71"/>
        <v>0</v>
      </c>
      <c r="H260" s="15"/>
      <c r="I260" s="15"/>
      <c r="J260" s="15"/>
      <c r="K260" s="15"/>
      <c r="L260" s="15"/>
      <c r="M260" s="17">
        <f t="shared" si="72"/>
        <v>0</v>
      </c>
      <c r="N260" s="15"/>
      <c r="O260" s="18"/>
      <c r="P260" s="18"/>
      <c r="Q260" s="19">
        <f t="shared" si="73"/>
        <v>0</v>
      </c>
      <c r="R260" s="18"/>
      <c r="S260" s="20"/>
    </row>
    <row r="261" spans="1:19" ht="15.75" x14ac:dyDescent="0.25">
      <c r="A261" s="12">
        <f t="shared" si="74"/>
        <v>5</v>
      </c>
      <c r="B261" s="12" t="s">
        <v>524</v>
      </c>
      <c r="C261" s="13" t="s">
        <v>525</v>
      </c>
      <c r="D261" s="14">
        <v>45565</v>
      </c>
      <c r="E261" s="15"/>
      <c r="F261" s="16">
        <v>10</v>
      </c>
      <c r="G261" s="17">
        <f t="shared" si="71"/>
        <v>0</v>
      </c>
      <c r="H261" s="15"/>
      <c r="I261" s="15"/>
      <c r="J261" s="15"/>
      <c r="K261" s="15"/>
      <c r="L261" s="15"/>
      <c r="M261" s="17">
        <f t="shared" si="72"/>
        <v>0</v>
      </c>
      <c r="N261" s="15"/>
      <c r="O261" s="18"/>
      <c r="P261" s="18"/>
      <c r="Q261" s="19">
        <f t="shared" si="73"/>
        <v>0</v>
      </c>
      <c r="R261" s="18"/>
      <c r="S261" s="20"/>
    </row>
    <row r="262" spans="1:19" ht="15.75" x14ac:dyDescent="0.25">
      <c r="A262" s="12">
        <f t="shared" si="74"/>
        <v>6</v>
      </c>
      <c r="B262" s="12" t="s">
        <v>526</v>
      </c>
      <c r="C262" s="13" t="s">
        <v>527</v>
      </c>
      <c r="D262" s="14">
        <v>45565</v>
      </c>
      <c r="E262" s="15"/>
      <c r="F262" s="16">
        <v>10</v>
      </c>
      <c r="G262" s="17">
        <f t="shared" si="71"/>
        <v>0</v>
      </c>
      <c r="H262" s="15"/>
      <c r="I262" s="15"/>
      <c r="J262" s="15"/>
      <c r="K262" s="15"/>
      <c r="L262" s="15"/>
      <c r="M262" s="17">
        <f t="shared" si="72"/>
        <v>0</v>
      </c>
      <c r="N262" s="15"/>
      <c r="O262" s="18"/>
      <c r="P262" s="18"/>
      <c r="Q262" s="19">
        <f t="shared" si="73"/>
        <v>0</v>
      </c>
      <c r="R262" s="18"/>
      <c r="S262" s="20"/>
    </row>
    <row r="263" spans="1:19" ht="15.75" x14ac:dyDescent="0.25">
      <c r="A263" s="12">
        <f t="shared" si="74"/>
        <v>7</v>
      </c>
      <c r="B263" s="12" t="s">
        <v>528</v>
      </c>
      <c r="C263" s="13" t="s">
        <v>529</v>
      </c>
      <c r="D263" s="14">
        <v>45565</v>
      </c>
      <c r="E263" s="15">
        <v>250.07150999999999</v>
      </c>
      <c r="F263" s="16">
        <v>10</v>
      </c>
      <c r="G263" s="17">
        <f t="shared" si="71"/>
        <v>25.007151</v>
      </c>
      <c r="H263" s="15"/>
      <c r="I263" s="15"/>
      <c r="J263" s="15"/>
      <c r="K263" s="15"/>
      <c r="L263" s="15"/>
      <c r="M263" s="17">
        <f t="shared" si="72"/>
        <v>0</v>
      </c>
      <c r="N263" s="15"/>
      <c r="O263" s="18"/>
      <c r="P263" s="18"/>
      <c r="Q263" s="19">
        <f t="shared" si="73"/>
        <v>0</v>
      </c>
      <c r="R263" s="18">
        <v>58</v>
      </c>
      <c r="S263" s="20"/>
    </row>
    <row r="264" spans="1:19" ht="15.75" x14ac:dyDescent="0.25">
      <c r="A264" s="12">
        <f t="shared" si="74"/>
        <v>8</v>
      </c>
      <c r="B264" s="12" t="s">
        <v>530</v>
      </c>
      <c r="C264" s="13" t="s">
        <v>531</v>
      </c>
      <c r="D264" s="14">
        <v>45565</v>
      </c>
      <c r="E264" s="15"/>
      <c r="F264" s="16">
        <v>5</v>
      </c>
      <c r="G264" s="17">
        <f t="shared" si="71"/>
        <v>0</v>
      </c>
      <c r="H264" s="15"/>
      <c r="I264" s="15"/>
      <c r="J264" s="15"/>
      <c r="K264" s="15"/>
      <c r="L264" s="15"/>
      <c r="M264" s="17">
        <f t="shared" si="72"/>
        <v>0</v>
      </c>
      <c r="N264" s="15"/>
      <c r="O264" s="18"/>
      <c r="P264" s="18"/>
      <c r="Q264" s="19">
        <f t="shared" si="73"/>
        <v>0</v>
      </c>
      <c r="R264" s="18"/>
      <c r="S264" s="20"/>
    </row>
    <row r="265" spans="1:19" ht="15.75" x14ac:dyDescent="0.25">
      <c r="A265" s="12">
        <f t="shared" si="74"/>
        <v>9</v>
      </c>
      <c r="B265" s="12" t="s">
        <v>532</v>
      </c>
      <c r="C265" s="13" t="s">
        <v>533</v>
      </c>
      <c r="D265" s="14">
        <v>45473</v>
      </c>
      <c r="E265" s="15">
        <v>200</v>
      </c>
      <c r="F265" s="16">
        <v>5</v>
      </c>
      <c r="G265" s="17">
        <f t="shared" si="71"/>
        <v>40</v>
      </c>
      <c r="H265" s="15">
        <v>949.41360399999996</v>
      </c>
      <c r="I265" s="15">
        <v>1315.6379549999999</v>
      </c>
      <c r="J265" s="15">
        <v>2340.4119799999999</v>
      </c>
      <c r="K265" s="15">
        <v>18.016325999999999</v>
      </c>
      <c r="L265" s="15">
        <v>-83.604483000000002</v>
      </c>
      <c r="M265" s="17">
        <f t="shared" si="72"/>
        <v>8.8291830000000004</v>
      </c>
      <c r="N265" s="15">
        <v>-92.433666000000002</v>
      </c>
      <c r="O265" s="18">
        <v>0</v>
      </c>
      <c r="P265" s="18">
        <v>0</v>
      </c>
      <c r="Q265" s="19">
        <f t="shared" si="73"/>
        <v>0</v>
      </c>
      <c r="R265" s="18"/>
      <c r="S265" s="20">
        <v>2259</v>
      </c>
    </row>
    <row r="266" spans="1:19" ht="15.75" x14ac:dyDescent="0.25">
      <c r="A266" s="12">
        <f t="shared" si="74"/>
        <v>10</v>
      </c>
      <c r="B266" s="12" t="s">
        <v>534</v>
      </c>
      <c r="C266" s="13" t="s">
        <v>535</v>
      </c>
      <c r="D266" s="14">
        <v>45565</v>
      </c>
      <c r="E266" s="15">
        <v>577.76661000000001</v>
      </c>
      <c r="F266" s="16">
        <v>10</v>
      </c>
      <c r="G266" s="17">
        <f t="shared" si="71"/>
        <v>57.776661000000004</v>
      </c>
      <c r="H266" s="15"/>
      <c r="I266" s="15"/>
      <c r="J266" s="15"/>
      <c r="K266" s="15"/>
      <c r="L266" s="15"/>
      <c r="M266" s="17">
        <f t="shared" si="72"/>
        <v>0</v>
      </c>
      <c r="N266" s="15"/>
      <c r="O266" s="18">
        <f>200</f>
        <v>200</v>
      </c>
      <c r="P266" s="18"/>
      <c r="Q266" s="19">
        <f t="shared" si="73"/>
        <v>200</v>
      </c>
      <c r="R266" s="18"/>
      <c r="S266" s="20"/>
    </row>
    <row r="267" spans="1:19" ht="15.75" x14ac:dyDescent="0.25">
      <c r="A267" s="12">
        <f t="shared" si="74"/>
        <v>11</v>
      </c>
      <c r="B267" s="12" t="s">
        <v>536</v>
      </c>
      <c r="C267" s="13" t="s">
        <v>537</v>
      </c>
      <c r="D267" s="14">
        <v>45565</v>
      </c>
      <c r="E267" s="15"/>
      <c r="F267" s="16">
        <v>10</v>
      </c>
      <c r="G267" s="17">
        <f t="shared" si="71"/>
        <v>0</v>
      </c>
      <c r="H267" s="15"/>
      <c r="I267" s="15"/>
      <c r="J267" s="15"/>
      <c r="K267" s="15"/>
      <c r="L267" s="15"/>
      <c r="M267" s="17">
        <f t="shared" si="72"/>
        <v>0</v>
      </c>
      <c r="N267" s="15"/>
      <c r="O267" s="18"/>
      <c r="P267" s="18"/>
      <c r="Q267" s="19">
        <f t="shared" si="73"/>
        <v>0</v>
      </c>
      <c r="R267" s="18"/>
      <c r="S267" s="20"/>
    </row>
    <row r="268" spans="1:19" ht="15.75" x14ac:dyDescent="0.25">
      <c r="A268" s="12">
        <f t="shared" si="74"/>
        <v>12</v>
      </c>
      <c r="B268" s="12" t="s">
        <v>538</v>
      </c>
      <c r="C268" s="13" t="s">
        <v>539</v>
      </c>
      <c r="D268" s="14">
        <v>45565</v>
      </c>
      <c r="E268" s="15"/>
      <c r="F268" s="16">
        <v>10</v>
      </c>
      <c r="G268" s="17">
        <f t="shared" si="71"/>
        <v>0</v>
      </c>
      <c r="H268" s="15"/>
      <c r="I268" s="15"/>
      <c r="J268" s="15"/>
      <c r="K268" s="15"/>
      <c r="L268" s="15"/>
      <c r="M268" s="17">
        <f t="shared" si="72"/>
        <v>0</v>
      </c>
      <c r="N268" s="15"/>
      <c r="O268" s="18"/>
      <c r="P268" s="18"/>
      <c r="Q268" s="19">
        <f t="shared" si="73"/>
        <v>0</v>
      </c>
      <c r="R268" s="18"/>
      <c r="S268" s="20"/>
    </row>
    <row r="269" spans="1:19" ht="15.75" x14ac:dyDescent="0.25">
      <c r="A269" s="12">
        <f t="shared" si="74"/>
        <v>13</v>
      </c>
      <c r="B269" s="12" t="s">
        <v>540</v>
      </c>
      <c r="C269" s="13" t="s">
        <v>541</v>
      </c>
      <c r="D269" s="14">
        <v>45565</v>
      </c>
      <c r="E269" s="15">
        <v>465.57891000000001</v>
      </c>
      <c r="F269" s="16">
        <v>10</v>
      </c>
      <c r="G269" s="17">
        <f t="shared" si="71"/>
        <v>46.557890999999998</v>
      </c>
      <c r="H269" s="15"/>
      <c r="I269" s="15"/>
      <c r="J269" s="15"/>
      <c r="K269" s="15"/>
      <c r="L269" s="15"/>
      <c r="M269" s="17">
        <f t="shared" si="72"/>
        <v>0</v>
      </c>
      <c r="N269" s="15"/>
      <c r="O269" s="18"/>
      <c r="P269" s="18"/>
      <c r="Q269" s="19">
        <f t="shared" si="73"/>
        <v>0</v>
      </c>
      <c r="R269" s="15">
        <v>42.957000000000001</v>
      </c>
      <c r="S269" s="20"/>
    </row>
    <row r="270" spans="1:19" ht="15.75" x14ac:dyDescent="0.25">
      <c r="A270" s="12">
        <f t="shared" si="74"/>
        <v>14</v>
      </c>
      <c r="B270" s="12" t="s">
        <v>542</v>
      </c>
      <c r="C270" s="13" t="s">
        <v>543</v>
      </c>
      <c r="D270" s="14">
        <v>45565</v>
      </c>
      <c r="E270" s="15">
        <v>749.27989000000002</v>
      </c>
      <c r="F270" s="16">
        <v>10</v>
      </c>
      <c r="G270" s="17">
        <f t="shared" si="71"/>
        <v>74.927988999999997</v>
      </c>
      <c r="H270" s="15"/>
      <c r="I270" s="15"/>
      <c r="J270" s="15"/>
      <c r="K270" s="15"/>
      <c r="L270" s="15"/>
      <c r="M270" s="17">
        <f t="shared" si="72"/>
        <v>0</v>
      </c>
      <c r="N270" s="15"/>
      <c r="O270" s="18">
        <f>10</f>
        <v>10</v>
      </c>
      <c r="P270" s="18"/>
      <c r="Q270" s="19">
        <f t="shared" si="73"/>
        <v>10</v>
      </c>
      <c r="R270" s="18"/>
      <c r="S270" s="20"/>
    </row>
    <row r="271" spans="1:19" ht="15.75" x14ac:dyDescent="0.25">
      <c r="A271" s="12">
        <f t="shared" si="74"/>
        <v>15</v>
      </c>
      <c r="B271" s="12" t="s">
        <v>544</v>
      </c>
      <c r="C271" s="13" t="s">
        <v>545</v>
      </c>
      <c r="D271" s="14">
        <v>45565</v>
      </c>
      <c r="E271" s="15"/>
      <c r="F271" s="16">
        <v>10</v>
      </c>
      <c r="G271" s="17">
        <f t="shared" si="71"/>
        <v>0</v>
      </c>
      <c r="H271" s="15"/>
      <c r="I271" s="15"/>
      <c r="J271" s="15"/>
      <c r="K271" s="15"/>
      <c r="L271" s="15"/>
      <c r="M271" s="17">
        <f t="shared" si="72"/>
        <v>0</v>
      </c>
      <c r="N271" s="15"/>
      <c r="O271" s="18"/>
      <c r="P271" s="18"/>
      <c r="Q271" s="19">
        <f t="shared" si="73"/>
        <v>0</v>
      </c>
      <c r="R271" s="18"/>
      <c r="S271" s="20"/>
    </row>
    <row r="272" spans="1:19" ht="15.75" x14ac:dyDescent="0.25">
      <c r="A272" s="12">
        <f t="shared" si="74"/>
        <v>16</v>
      </c>
      <c r="B272" s="12" t="s">
        <v>546</v>
      </c>
      <c r="C272" s="13" t="s">
        <v>547</v>
      </c>
      <c r="D272" s="14">
        <v>45565</v>
      </c>
      <c r="E272" s="15"/>
      <c r="F272" s="16">
        <v>10</v>
      </c>
      <c r="G272" s="17">
        <f t="shared" si="71"/>
        <v>0</v>
      </c>
      <c r="H272" s="15"/>
      <c r="I272" s="15"/>
      <c r="J272" s="15"/>
      <c r="K272" s="15"/>
      <c r="L272" s="15"/>
      <c r="M272" s="17">
        <f t="shared" si="72"/>
        <v>0</v>
      </c>
      <c r="N272" s="15"/>
      <c r="O272" s="18"/>
      <c r="P272" s="18"/>
      <c r="Q272" s="19">
        <f t="shared" si="73"/>
        <v>0</v>
      </c>
      <c r="R272" s="18"/>
      <c r="S272" s="20"/>
    </row>
    <row r="273" spans="1:19" ht="15.75" x14ac:dyDescent="0.25">
      <c r="A273" s="12">
        <f t="shared" si="74"/>
        <v>17</v>
      </c>
      <c r="B273" s="12" t="s">
        <v>548</v>
      </c>
      <c r="C273" s="13" t="s">
        <v>549</v>
      </c>
      <c r="D273" s="14">
        <v>45565</v>
      </c>
      <c r="E273" s="15"/>
      <c r="F273" s="16">
        <v>10</v>
      </c>
      <c r="G273" s="17">
        <f t="shared" si="71"/>
        <v>0</v>
      </c>
      <c r="H273" s="15"/>
      <c r="I273" s="15"/>
      <c r="J273" s="15"/>
      <c r="K273" s="15"/>
      <c r="L273" s="15"/>
      <c r="M273" s="17">
        <f t="shared" si="72"/>
        <v>0</v>
      </c>
      <c r="N273" s="15"/>
      <c r="O273" s="18"/>
      <c r="P273" s="18"/>
      <c r="Q273" s="19">
        <f t="shared" si="73"/>
        <v>0</v>
      </c>
      <c r="R273" s="18"/>
      <c r="S273" s="20"/>
    </row>
    <row r="274" spans="1:19" ht="15.75" x14ac:dyDescent="0.25">
      <c r="A274" s="12">
        <f t="shared" si="74"/>
        <v>18</v>
      </c>
      <c r="B274" s="12" t="s">
        <v>550</v>
      </c>
      <c r="C274" s="13" t="s">
        <v>551</v>
      </c>
      <c r="D274" s="14">
        <v>45565</v>
      </c>
      <c r="E274" s="15"/>
      <c r="F274" s="16">
        <v>10</v>
      </c>
      <c r="G274" s="17">
        <f t="shared" si="71"/>
        <v>0</v>
      </c>
      <c r="H274" s="15"/>
      <c r="I274" s="15"/>
      <c r="J274" s="15"/>
      <c r="K274" s="15"/>
      <c r="L274" s="15"/>
      <c r="M274" s="17">
        <f t="shared" si="72"/>
        <v>0</v>
      </c>
      <c r="N274" s="15"/>
      <c r="O274" s="18"/>
      <c r="P274" s="18"/>
      <c r="Q274" s="19">
        <f t="shared" si="73"/>
        <v>0</v>
      </c>
      <c r="R274" s="18"/>
      <c r="S274" s="20"/>
    </row>
    <row r="275" spans="1:19" ht="15.75" x14ac:dyDescent="0.25">
      <c r="A275" s="12">
        <f t="shared" si="74"/>
        <v>19</v>
      </c>
      <c r="B275" s="12" t="s">
        <v>552</v>
      </c>
      <c r="C275" s="13" t="s">
        <v>553</v>
      </c>
      <c r="D275" s="14">
        <v>45565</v>
      </c>
      <c r="E275" s="15"/>
      <c r="F275" s="16">
        <v>10</v>
      </c>
      <c r="G275" s="17">
        <f t="shared" si="71"/>
        <v>0</v>
      </c>
      <c r="H275" s="15"/>
      <c r="I275" s="15"/>
      <c r="J275" s="15"/>
      <c r="K275" s="15"/>
      <c r="L275" s="15"/>
      <c r="M275" s="17">
        <f t="shared" si="72"/>
        <v>0</v>
      </c>
      <c r="N275" s="15"/>
      <c r="O275" s="18"/>
      <c r="P275" s="18"/>
      <c r="Q275" s="19">
        <f t="shared" si="73"/>
        <v>0</v>
      </c>
      <c r="R275" s="18"/>
      <c r="S275" s="20"/>
    </row>
    <row r="276" spans="1:19" ht="15.75" x14ac:dyDescent="0.25">
      <c r="A276" s="12">
        <f t="shared" si="74"/>
        <v>20</v>
      </c>
      <c r="B276" s="12" t="s">
        <v>554</v>
      </c>
      <c r="C276" s="13" t="s">
        <v>555</v>
      </c>
      <c r="D276" s="14">
        <v>45565</v>
      </c>
      <c r="E276" s="15"/>
      <c r="F276" s="16">
        <v>10</v>
      </c>
      <c r="G276" s="17">
        <f t="shared" si="71"/>
        <v>0</v>
      </c>
      <c r="H276" s="15"/>
      <c r="I276" s="15"/>
      <c r="J276" s="15"/>
      <c r="K276" s="15"/>
      <c r="L276" s="15"/>
      <c r="M276" s="17">
        <f t="shared" si="72"/>
        <v>0</v>
      </c>
      <c r="N276" s="15"/>
      <c r="O276" s="18"/>
      <c r="P276" s="18"/>
      <c r="Q276" s="19">
        <f t="shared" si="73"/>
        <v>0</v>
      </c>
      <c r="R276" s="18"/>
      <c r="S276" s="20"/>
    </row>
    <row r="277" spans="1:19" ht="15.75" x14ac:dyDescent="0.25">
      <c r="A277" s="12">
        <f t="shared" si="74"/>
        <v>21</v>
      </c>
      <c r="B277" s="12" t="s">
        <v>556</v>
      </c>
      <c r="C277" s="21" t="s">
        <v>557</v>
      </c>
      <c r="D277" s="14">
        <v>45565</v>
      </c>
      <c r="E277" s="15">
        <v>529.65</v>
      </c>
      <c r="F277" s="16">
        <v>10</v>
      </c>
      <c r="G277" s="17">
        <f t="shared" si="71"/>
        <v>52.964999999999996</v>
      </c>
      <c r="H277" s="15"/>
      <c r="I277" s="15"/>
      <c r="J277" s="15"/>
      <c r="K277" s="15"/>
      <c r="L277" s="15"/>
      <c r="M277" s="17">
        <f t="shared" si="72"/>
        <v>0</v>
      </c>
      <c r="N277" s="15"/>
      <c r="O277" s="18"/>
      <c r="P277" s="18"/>
      <c r="Q277" s="19">
        <f t="shared" si="73"/>
        <v>0</v>
      </c>
      <c r="R277" s="18">
        <v>25</v>
      </c>
      <c r="S277" s="20"/>
    </row>
    <row r="278" spans="1:19" ht="15.75" x14ac:dyDescent="0.25">
      <c r="A278" s="12"/>
      <c r="B278" s="12" t="s">
        <v>558</v>
      </c>
      <c r="C278" s="21" t="s">
        <v>559</v>
      </c>
      <c r="D278" s="14">
        <v>45565</v>
      </c>
      <c r="E278" s="15"/>
      <c r="F278" s="16">
        <v>10</v>
      </c>
      <c r="G278" s="17">
        <f t="shared" si="71"/>
        <v>0</v>
      </c>
      <c r="H278" s="15"/>
      <c r="I278" s="15"/>
      <c r="J278" s="15"/>
      <c r="K278" s="15"/>
      <c r="L278" s="15"/>
      <c r="M278" s="17">
        <f t="shared" si="72"/>
        <v>0</v>
      </c>
      <c r="N278" s="15"/>
      <c r="O278" s="18"/>
      <c r="P278" s="18"/>
      <c r="Q278" s="19">
        <f t="shared" si="73"/>
        <v>0</v>
      </c>
      <c r="R278" s="18"/>
      <c r="S278" s="20"/>
    </row>
    <row r="279" spans="1:19" ht="15.75" x14ac:dyDescent="0.25">
      <c r="A279" s="12">
        <f>+A277+1</f>
        <v>22</v>
      </c>
      <c r="B279" s="12" t="s">
        <v>560</v>
      </c>
      <c r="C279" s="13" t="s">
        <v>561</v>
      </c>
      <c r="D279" s="14">
        <v>45565</v>
      </c>
      <c r="E279" s="15"/>
      <c r="F279" s="16">
        <v>10</v>
      </c>
      <c r="G279" s="17">
        <f t="shared" si="71"/>
        <v>0</v>
      </c>
      <c r="H279" s="15"/>
      <c r="I279" s="15"/>
      <c r="J279" s="15"/>
      <c r="K279" s="15"/>
      <c r="L279" s="15"/>
      <c r="M279" s="17">
        <f t="shared" si="72"/>
        <v>0</v>
      </c>
      <c r="N279" s="15"/>
      <c r="O279" s="18"/>
      <c r="P279" s="18"/>
      <c r="Q279" s="19">
        <f t="shared" si="73"/>
        <v>0</v>
      </c>
      <c r="R279" s="18"/>
      <c r="S279" s="20"/>
    </row>
    <row r="280" spans="1:19" ht="15.75" x14ac:dyDescent="0.25">
      <c r="A280" s="12">
        <f t="shared" ref="A280" si="75">+A279+1</f>
        <v>23</v>
      </c>
      <c r="B280" s="12" t="s">
        <v>562</v>
      </c>
      <c r="C280" s="13" t="s">
        <v>563</v>
      </c>
      <c r="D280" s="14">
        <v>45565</v>
      </c>
      <c r="E280" s="15"/>
      <c r="F280" s="16">
        <v>10</v>
      </c>
      <c r="G280" s="17">
        <f t="shared" si="71"/>
        <v>0</v>
      </c>
      <c r="H280" s="15"/>
      <c r="I280" s="15"/>
      <c r="J280" s="15"/>
      <c r="K280" s="15"/>
      <c r="L280" s="15"/>
      <c r="M280" s="17">
        <f t="shared" si="72"/>
        <v>0</v>
      </c>
      <c r="N280" s="15"/>
      <c r="O280" s="18"/>
      <c r="P280" s="18"/>
      <c r="Q280" s="19">
        <f t="shared" si="73"/>
        <v>0</v>
      </c>
      <c r="R280" s="18"/>
      <c r="S280" s="20"/>
    </row>
    <row r="281" spans="1:19" ht="15.75" x14ac:dyDescent="0.25">
      <c r="A281" s="12">
        <v>1</v>
      </c>
      <c r="B281" s="12" t="s">
        <v>564</v>
      </c>
      <c r="C281" s="13" t="s">
        <v>565</v>
      </c>
      <c r="D281" s="14">
        <v>45565</v>
      </c>
      <c r="E281" s="15"/>
      <c r="F281" s="16">
        <v>10</v>
      </c>
      <c r="G281" s="17">
        <f>+E281/F281</f>
        <v>0</v>
      </c>
      <c r="H281" s="15"/>
      <c r="I281" s="15"/>
      <c r="J281" s="15"/>
      <c r="K281" s="15"/>
      <c r="L281" s="15"/>
      <c r="M281" s="17">
        <f>+L281-N281</f>
        <v>0</v>
      </c>
      <c r="N281" s="15"/>
      <c r="O281" s="18"/>
      <c r="P281" s="18"/>
      <c r="Q281" s="19">
        <f>SUM(O281:P281)</f>
        <v>0</v>
      </c>
      <c r="R281" s="18"/>
      <c r="S281" s="20"/>
    </row>
    <row r="282" spans="1:19" ht="15.75" x14ac:dyDescent="0.25">
      <c r="A282" s="12">
        <f t="shared" ref="A282:A285" si="76">+A281+1</f>
        <v>2</v>
      </c>
      <c r="B282" s="12" t="s">
        <v>566</v>
      </c>
      <c r="C282" s="13" t="s">
        <v>567</v>
      </c>
      <c r="D282" s="14">
        <v>45565</v>
      </c>
      <c r="E282" s="15"/>
      <c r="F282" s="16">
        <v>10</v>
      </c>
      <c r="G282" s="17">
        <f>+E282/F282</f>
        <v>0</v>
      </c>
      <c r="H282" s="15"/>
      <c r="I282" s="15"/>
      <c r="J282" s="15"/>
      <c r="K282" s="15"/>
      <c r="L282" s="15"/>
      <c r="M282" s="17">
        <f>+L282-N282</f>
        <v>0</v>
      </c>
      <c r="N282" s="15"/>
      <c r="O282" s="18"/>
      <c r="P282" s="18"/>
      <c r="Q282" s="19">
        <f>SUM(O282:P282)</f>
        <v>0</v>
      </c>
      <c r="R282" s="18"/>
      <c r="S282" s="20"/>
    </row>
    <row r="283" spans="1:19" ht="15.75" x14ac:dyDescent="0.25">
      <c r="A283" s="12">
        <f t="shared" si="76"/>
        <v>3</v>
      </c>
      <c r="B283" s="12" t="s">
        <v>568</v>
      </c>
      <c r="C283" s="13" t="s">
        <v>569</v>
      </c>
      <c r="D283" s="14">
        <v>45565</v>
      </c>
      <c r="E283" s="15"/>
      <c r="F283" s="16">
        <v>10</v>
      </c>
      <c r="G283" s="17">
        <f>+E283/F283</f>
        <v>0</v>
      </c>
      <c r="H283" s="15"/>
      <c r="I283" s="15"/>
      <c r="J283" s="15"/>
      <c r="K283" s="15"/>
      <c r="L283" s="15"/>
      <c r="M283" s="17">
        <f>+L283-N283</f>
        <v>0</v>
      </c>
      <c r="N283" s="15"/>
      <c r="O283" s="18"/>
      <c r="P283" s="18"/>
      <c r="Q283" s="19">
        <f>SUM(O283:P283)</f>
        <v>0</v>
      </c>
      <c r="R283" s="18"/>
      <c r="S283" s="20"/>
    </row>
    <row r="284" spans="1:19" ht="15.75" x14ac:dyDescent="0.25">
      <c r="A284" s="12">
        <f t="shared" si="76"/>
        <v>4</v>
      </c>
      <c r="B284" s="12" t="s">
        <v>570</v>
      </c>
      <c r="C284" s="21" t="s">
        <v>571</v>
      </c>
      <c r="D284" s="14">
        <v>45565</v>
      </c>
      <c r="E284" s="15"/>
      <c r="F284" s="16">
        <v>10</v>
      </c>
      <c r="G284" s="17">
        <f>+E284/F284</f>
        <v>0</v>
      </c>
      <c r="H284" s="15"/>
      <c r="I284" s="15"/>
      <c r="J284" s="15"/>
      <c r="K284" s="15"/>
      <c r="L284" s="15"/>
      <c r="M284" s="17">
        <f>+L284-N284</f>
        <v>0</v>
      </c>
      <c r="N284" s="15"/>
      <c r="O284" s="18"/>
      <c r="P284" s="18"/>
      <c r="Q284" s="19">
        <f>SUM(O284:P284)</f>
        <v>0</v>
      </c>
      <c r="R284" s="18"/>
      <c r="S284" s="20"/>
    </row>
    <row r="285" spans="1:19" ht="15.75" x14ac:dyDescent="0.25">
      <c r="A285" s="12">
        <f t="shared" si="76"/>
        <v>5</v>
      </c>
      <c r="B285" s="12" t="s">
        <v>572</v>
      </c>
      <c r="C285" s="13" t="s">
        <v>573</v>
      </c>
      <c r="D285" s="14">
        <v>45565</v>
      </c>
      <c r="E285" s="15"/>
      <c r="F285" s="16">
        <v>10</v>
      </c>
      <c r="G285" s="17">
        <f>+E285/F285</f>
        <v>0</v>
      </c>
      <c r="H285" s="15"/>
      <c r="I285" s="15"/>
      <c r="J285" s="15"/>
      <c r="K285" s="15"/>
      <c r="L285" s="15"/>
      <c r="M285" s="17">
        <f>+L285-N285</f>
        <v>0</v>
      </c>
      <c r="N285" s="15"/>
      <c r="O285" s="18"/>
      <c r="P285" s="18"/>
      <c r="Q285" s="19">
        <f>SUM(O285:P285)</f>
        <v>0</v>
      </c>
      <c r="R285" s="18"/>
      <c r="S285" s="20"/>
    </row>
    <row r="286" spans="1:19" ht="15.75" x14ac:dyDescent="0.25">
      <c r="A286" s="12">
        <v>1</v>
      </c>
      <c r="B286" s="12" t="s">
        <v>574</v>
      </c>
      <c r="C286" s="13" t="s">
        <v>575</v>
      </c>
      <c r="D286" s="14">
        <v>45473</v>
      </c>
      <c r="E286" s="15">
        <v>1374.2696100000001</v>
      </c>
      <c r="F286" s="16">
        <v>10</v>
      </c>
      <c r="G286" s="17">
        <f t="shared" ref="G286:G303" si="77">+E286/F286</f>
        <v>137.42696100000001</v>
      </c>
      <c r="H286" s="15">
        <v>21516.643</v>
      </c>
      <c r="I286" s="15">
        <v>53174.029000000002</v>
      </c>
      <c r="J286" s="15">
        <v>28536.527999999998</v>
      </c>
      <c r="K286" s="15">
        <v>339.87799999999999</v>
      </c>
      <c r="L286" s="15">
        <v>5831.1620000000003</v>
      </c>
      <c r="M286" s="17">
        <f t="shared" ref="M286:M303" si="78">+L286-N286</f>
        <v>2264.6400000000003</v>
      </c>
      <c r="N286" s="15">
        <v>3566.5219999999999</v>
      </c>
      <c r="O286" s="18">
        <f>25+40</f>
        <v>65</v>
      </c>
      <c r="P286" s="18">
        <v>0</v>
      </c>
      <c r="Q286" s="19">
        <f t="shared" ref="Q286:Q303" si="79">SUM(O286:P286)</f>
        <v>65</v>
      </c>
      <c r="R286" s="18"/>
      <c r="S286" s="20">
        <v>2354</v>
      </c>
    </row>
    <row r="287" spans="1:19" ht="15.75" x14ac:dyDescent="0.25">
      <c r="A287" s="12">
        <f>+A286+1</f>
        <v>2</v>
      </c>
      <c r="B287" s="12" t="s">
        <v>576</v>
      </c>
      <c r="C287" s="13" t="s">
        <v>577</v>
      </c>
      <c r="D287" s="14">
        <v>45473</v>
      </c>
      <c r="E287" s="15">
        <f>596.252783*F287</f>
        <v>5962.52783</v>
      </c>
      <c r="F287" s="16">
        <v>10</v>
      </c>
      <c r="G287" s="17">
        <f t="shared" si="77"/>
        <v>596.25278300000002</v>
      </c>
      <c r="H287" s="15">
        <v>63059.978000000003</v>
      </c>
      <c r="I287" s="15">
        <v>167909.448</v>
      </c>
      <c r="J287" s="15">
        <v>103922.26300000001</v>
      </c>
      <c r="K287" s="15">
        <v>11212.392</v>
      </c>
      <c r="L287" s="15">
        <v>22377.304</v>
      </c>
      <c r="M287" s="17">
        <f t="shared" si="78"/>
        <v>8608.7289999999994</v>
      </c>
      <c r="N287" s="15">
        <v>13768.575000000001</v>
      </c>
      <c r="O287" s="18">
        <f>60+60+60+80</f>
        <v>260</v>
      </c>
      <c r="P287" s="18">
        <v>0</v>
      </c>
      <c r="Q287" s="19">
        <f t="shared" si="79"/>
        <v>260</v>
      </c>
      <c r="R287" s="18"/>
      <c r="S287" s="20">
        <v>8641</v>
      </c>
    </row>
    <row r="288" spans="1:19" ht="15.75" x14ac:dyDescent="0.25">
      <c r="A288" s="12">
        <f t="shared" ref="A288:A303" si="80">+A287+1</f>
        <v>3</v>
      </c>
      <c r="B288" s="12" t="s">
        <v>578</v>
      </c>
      <c r="C288" s="13" t="s">
        <v>579</v>
      </c>
      <c r="D288" s="14">
        <v>45473</v>
      </c>
      <c r="E288" s="15">
        <v>1942.95038</v>
      </c>
      <c r="F288" s="16">
        <v>10</v>
      </c>
      <c r="G288" s="17">
        <f t="shared" si="77"/>
        <v>194.29503800000001</v>
      </c>
      <c r="H288" s="15">
        <v>25542.929</v>
      </c>
      <c r="I288" s="15">
        <v>41034.052000000003</v>
      </c>
      <c r="J288" s="15">
        <v>38433.747000000003</v>
      </c>
      <c r="K288" s="15">
        <v>1381.0820000000001</v>
      </c>
      <c r="L288" s="15">
        <v>9130.69</v>
      </c>
      <c r="M288" s="17">
        <f t="shared" si="78"/>
        <v>3630.9390000000003</v>
      </c>
      <c r="N288" s="15">
        <v>5499.7510000000002</v>
      </c>
      <c r="O288" s="18">
        <f>15+40</f>
        <v>55</v>
      </c>
      <c r="P288" s="18">
        <v>0</v>
      </c>
      <c r="Q288" s="19">
        <f t="shared" si="79"/>
        <v>55</v>
      </c>
      <c r="R288" s="18"/>
      <c r="S288" s="20">
        <v>4740</v>
      </c>
    </row>
    <row r="289" spans="1:19" ht="15.75" x14ac:dyDescent="0.25">
      <c r="A289" s="12">
        <f t="shared" si="80"/>
        <v>4</v>
      </c>
      <c r="B289" s="12" t="s">
        <v>580</v>
      </c>
      <c r="C289" s="13" t="s">
        <v>581</v>
      </c>
      <c r="D289" s="14">
        <v>45473</v>
      </c>
      <c r="E289" s="15">
        <v>4841.1334299999999</v>
      </c>
      <c r="F289" s="16">
        <v>10</v>
      </c>
      <c r="G289" s="17">
        <f t="shared" si="77"/>
        <v>484.11334299999999</v>
      </c>
      <c r="H289" s="15">
        <v>26971.678</v>
      </c>
      <c r="I289" s="15">
        <v>48772.184999999998</v>
      </c>
      <c r="J289" s="15">
        <v>22319.081999999999</v>
      </c>
      <c r="K289" s="15">
        <v>21.09</v>
      </c>
      <c r="L289" s="15">
        <v>-890.56600000000003</v>
      </c>
      <c r="M289" s="17">
        <f t="shared" si="78"/>
        <v>-380.85400000000004</v>
      </c>
      <c r="N289" s="15">
        <v>-509.71199999999999</v>
      </c>
      <c r="O289" s="18">
        <v>0</v>
      </c>
      <c r="P289" s="18">
        <v>0</v>
      </c>
      <c r="Q289" s="19">
        <f t="shared" si="79"/>
        <v>0</v>
      </c>
      <c r="R289" s="18"/>
      <c r="S289" s="20">
        <v>8046</v>
      </c>
    </row>
    <row r="290" spans="1:19" ht="15.75" x14ac:dyDescent="0.25">
      <c r="A290" s="12">
        <f t="shared" si="80"/>
        <v>5</v>
      </c>
      <c r="B290" s="12" t="s">
        <v>582</v>
      </c>
      <c r="C290" s="13" t="s">
        <v>583</v>
      </c>
      <c r="D290" s="14">
        <v>45473</v>
      </c>
      <c r="E290" s="15">
        <v>4381.1909699999997</v>
      </c>
      <c r="F290" s="16">
        <v>10</v>
      </c>
      <c r="G290" s="17">
        <f t="shared" si="77"/>
        <v>438.11909699999995</v>
      </c>
      <c r="H290" s="15">
        <v>75847.538</v>
      </c>
      <c r="I290" s="15">
        <v>138385.75399999999</v>
      </c>
      <c r="J290" s="15">
        <v>66038.688999999998</v>
      </c>
      <c r="K290" s="15">
        <v>8001.1049999999996</v>
      </c>
      <c r="L290" s="15">
        <v>2318.0619999999999</v>
      </c>
      <c r="M290" s="17">
        <f t="shared" si="78"/>
        <v>1775.6659999999999</v>
      </c>
      <c r="N290" s="15">
        <v>542.39599999999996</v>
      </c>
      <c r="O290" s="18">
        <v>0</v>
      </c>
      <c r="P290" s="18">
        <v>0</v>
      </c>
      <c r="Q290" s="19">
        <f t="shared" si="79"/>
        <v>0</v>
      </c>
      <c r="R290" s="18"/>
      <c r="S290" s="20">
        <v>10700</v>
      </c>
    </row>
    <row r="291" spans="1:19" ht="15.75" x14ac:dyDescent="0.25">
      <c r="A291" s="12">
        <f t="shared" si="80"/>
        <v>6</v>
      </c>
      <c r="B291" s="12" t="s">
        <v>584</v>
      </c>
      <c r="C291" s="13" t="s">
        <v>585</v>
      </c>
      <c r="D291" s="14">
        <v>45473</v>
      </c>
      <c r="E291" s="15">
        <v>3163.55132</v>
      </c>
      <c r="F291" s="16">
        <v>10</v>
      </c>
      <c r="G291" s="17">
        <f>+E291/F291</f>
        <v>316.35513200000003</v>
      </c>
      <c r="H291" s="15">
        <v>4020.3743100000002</v>
      </c>
      <c r="I291" s="15">
        <v>13523.902748</v>
      </c>
      <c r="J291" s="15">
        <v>2456.3551969999999</v>
      </c>
      <c r="K291" s="15">
        <v>392.90709299999997</v>
      </c>
      <c r="L291" s="15">
        <v>-267.60909400000003</v>
      </c>
      <c r="M291" s="17">
        <f>+L291-N291</f>
        <v>-288.03502800000001</v>
      </c>
      <c r="N291" s="15">
        <v>20.425934000000002</v>
      </c>
      <c r="O291" s="18">
        <v>0</v>
      </c>
      <c r="P291" s="18">
        <v>0</v>
      </c>
      <c r="Q291" s="19">
        <f>SUM(O291:P291)</f>
        <v>0</v>
      </c>
      <c r="R291" s="18"/>
      <c r="S291" s="20">
        <v>702</v>
      </c>
    </row>
    <row r="292" spans="1:19" ht="15.75" x14ac:dyDescent="0.25">
      <c r="A292" s="12">
        <f t="shared" si="80"/>
        <v>7</v>
      </c>
      <c r="B292" s="12" t="s">
        <v>586</v>
      </c>
      <c r="C292" s="13" t="s">
        <v>587</v>
      </c>
      <c r="D292" s="14">
        <v>45473</v>
      </c>
      <c r="E292" s="15">
        <v>24528.475999999999</v>
      </c>
      <c r="F292" s="16">
        <v>10</v>
      </c>
      <c r="G292" s="17">
        <f t="shared" si="77"/>
        <v>2452.8476000000001</v>
      </c>
      <c r="H292" s="15">
        <v>73398.853000000003</v>
      </c>
      <c r="I292" s="15">
        <v>147636.299</v>
      </c>
      <c r="J292" s="15">
        <v>80026.225999999995</v>
      </c>
      <c r="K292" s="15">
        <v>5536.2979999999998</v>
      </c>
      <c r="L292" s="15">
        <v>15299.731</v>
      </c>
      <c r="M292" s="17">
        <f t="shared" si="78"/>
        <v>7076.6149999999998</v>
      </c>
      <c r="N292" s="15">
        <v>8223.116</v>
      </c>
      <c r="O292" s="18">
        <v>10</v>
      </c>
      <c r="P292" s="18">
        <v>0</v>
      </c>
      <c r="Q292" s="19">
        <f t="shared" si="79"/>
        <v>10</v>
      </c>
      <c r="R292" s="18"/>
      <c r="S292" s="20">
        <v>13139</v>
      </c>
    </row>
    <row r="293" spans="1:19" ht="15.75" x14ac:dyDescent="0.25">
      <c r="A293" s="12">
        <f t="shared" si="80"/>
        <v>8</v>
      </c>
      <c r="B293" s="12" t="s">
        <v>588</v>
      </c>
      <c r="C293" s="13" t="s">
        <v>589</v>
      </c>
      <c r="D293" s="14">
        <v>45473</v>
      </c>
      <c r="E293" s="15">
        <v>501.6</v>
      </c>
      <c r="F293" s="16">
        <v>10</v>
      </c>
      <c r="G293" s="17">
        <f t="shared" si="77"/>
        <v>50.160000000000004</v>
      </c>
      <c r="H293" s="15">
        <f>3861.686+880.666</f>
        <v>4742.3519999999999</v>
      </c>
      <c r="I293" s="15">
        <v>7814.35</v>
      </c>
      <c r="J293" s="15">
        <v>10908.118</v>
      </c>
      <c r="K293" s="15">
        <v>276.17399999999998</v>
      </c>
      <c r="L293" s="15">
        <v>670.12800000000004</v>
      </c>
      <c r="M293" s="17">
        <f t="shared" si="78"/>
        <v>352.80500000000006</v>
      </c>
      <c r="N293" s="15">
        <v>317.32299999999998</v>
      </c>
      <c r="O293" s="18">
        <v>0</v>
      </c>
      <c r="P293" s="18">
        <v>0</v>
      </c>
      <c r="Q293" s="19">
        <f t="shared" si="79"/>
        <v>0</v>
      </c>
      <c r="R293" s="18"/>
      <c r="S293" s="20">
        <v>1856</v>
      </c>
    </row>
    <row r="294" spans="1:19" ht="15.75" x14ac:dyDescent="0.25">
      <c r="A294" s="12">
        <f t="shared" si="80"/>
        <v>9</v>
      </c>
      <c r="B294" s="12" t="s">
        <v>590</v>
      </c>
      <c r="C294" s="13" t="s">
        <v>591</v>
      </c>
      <c r="D294" s="14">
        <v>45473</v>
      </c>
      <c r="E294" s="15">
        <v>6948</v>
      </c>
      <c r="F294" s="16">
        <v>10</v>
      </c>
      <c r="G294" s="17">
        <f t="shared" si="77"/>
        <v>694.8</v>
      </c>
      <c r="H294" s="15">
        <v>12343.563561999999</v>
      </c>
      <c r="I294" s="15">
        <v>25361.291228999999</v>
      </c>
      <c r="J294" s="15">
        <v>4516.6277950000003</v>
      </c>
      <c r="K294" s="15">
        <v>178.59922800000001</v>
      </c>
      <c r="L294" s="15">
        <v>333.86143499999997</v>
      </c>
      <c r="M294" s="17">
        <f t="shared" si="78"/>
        <v>282.41466499999996</v>
      </c>
      <c r="N294" s="15">
        <v>51.446770000000001</v>
      </c>
      <c r="O294" s="18">
        <v>0</v>
      </c>
      <c r="P294" s="18">
        <v>0</v>
      </c>
      <c r="Q294" s="19">
        <f t="shared" si="79"/>
        <v>0</v>
      </c>
      <c r="R294" s="18"/>
      <c r="S294" s="20">
        <v>6381</v>
      </c>
    </row>
    <row r="295" spans="1:19" ht="15.75" x14ac:dyDescent="0.25">
      <c r="A295" s="12">
        <f t="shared" si="80"/>
        <v>10</v>
      </c>
      <c r="B295" s="12" t="s">
        <v>592</v>
      </c>
      <c r="C295" s="13" t="s">
        <v>593</v>
      </c>
      <c r="D295" s="14">
        <v>45473</v>
      </c>
      <c r="E295" s="15">
        <v>4002.739</v>
      </c>
      <c r="F295" s="16">
        <v>10</v>
      </c>
      <c r="G295" s="17">
        <f t="shared" si="77"/>
        <v>400.27390000000003</v>
      </c>
      <c r="H295" s="15">
        <v>24051.605</v>
      </c>
      <c r="I295" s="15">
        <v>37125.656999999999</v>
      </c>
      <c r="J295" s="15">
        <v>18165.082999999999</v>
      </c>
      <c r="K295" s="15">
        <v>279.38</v>
      </c>
      <c r="L295" s="15">
        <v>2811.808</v>
      </c>
      <c r="M295" s="17">
        <f t="shared" si="78"/>
        <v>1069.078</v>
      </c>
      <c r="N295" s="15">
        <v>1742.73</v>
      </c>
      <c r="O295" s="18">
        <v>0</v>
      </c>
      <c r="P295" s="18">
        <v>0</v>
      </c>
      <c r="Q295" s="19">
        <f t="shared" si="79"/>
        <v>0</v>
      </c>
      <c r="R295" s="18"/>
      <c r="S295" s="20">
        <v>3299</v>
      </c>
    </row>
    <row r="296" spans="1:19" ht="15.75" x14ac:dyDescent="0.25">
      <c r="A296" s="12">
        <f t="shared" si="80"/>
        <v>11</v>
      </c>
      <c r="B296" s="12" t="s">
        <v>594</v>
      </c>
      <c r="C296" s="13" t="s">
        <v>595</v>
      </c>
      <c r="D296" s="14">
        <v>45473</v>
      </c>
      <c r="E296" s="15">
        <v>1958.6129699999999</v>
      </c>
      <c r="F296" s="16">
        <v>10</v>
      </c>
      <c r="G296" s="17">
        <f t="shared" si="77"/>
        <v>195.86129699999998</v>
      </c>
      <c r="H296" s="15">
        <v>41090.305290999997</v>
      </c>
      <c r="I296" s="15">
        <v>58843.295196999999</v>
      </c>
      <c r="J296" s="15">
        <v>38647.767972000001</v>
      </c>
      <c r="K296" s="15">
        <v>677.38084500000002</v>
      </c>
      <c r="L296" s="15">
        <v>12932.133734999999</v>
      </c>
      <c r="M296" s="17">
        <f t="shared" si="78"/>
        <v>4038.6789470000003</v>
      </c>
      <c r="N296" s="15">
        <v>8893.4547879999991</v>
      </c>
      <c r="O296" s="18">
        <v>0</v>
      </c>
      <c r="P296" s="18">
        <v>0</v>
      </c>
      <c r="Q296" s="19">
        <f t="shared" si="79"/>
        <v>0</v>
      </c>
      <c r="R296" s="18"/>
      <c r="S296" s="20">
        <v>2210</v>
      </c>
    </row>
    <row r="297" spans="1:19" ht="15.75" x14ac:dyDescent="0.25">
      <c r="A297" s="12">
        <f t="shared" si="80"/>
        <v>12</v>
      </c>
      <c r="B297" s="12" t="s">
        <v>596</v>
      </c>
      <c r="C297" s="13" t="s">
        <v>597</v>
      </c>
      <c r="D297" s="14">
        <v>45473</v>
      </c>
      <c r="E297" s="15">
        <v>2930</v>
      </c>
      <c r="F297" s="16">
        <v>10</v>
      </c>
      <c r="G297" s="17">
        <f t="shared" si="77"/>
        <v>293</v>
      </c>
      <c r="H297" s="15"/>
      <c r="I297" s="15"/>
      <c r="J297" s="15"/>
      <c r="K297" s="15"/>
      <c r="L297" s="15">
        <v>40534.413</v>
      </c>
      <c r="M297" s="17">
        <f t="shared" si="78"/>
        <v>12427.874</v>
      </c>
      <c r="N297" s="15">
        <v>28106.539000000001</v>
      </c>
      <c r="O297" s="18">
        <v>150</v>
      </c>
      <c r="P297" s="18">
        <v>0</v>
      </c>
      <c r="Q297" s="19">
        <f t="shared" si="79"/>
        <v>150</v>
      </c>
      <c r="R297" s="18"/>
      <c r="S297" s="20">
        <v>9640</v>
      </c>
    </row>
    <row r="298" spans="1:19" ht="15.75" x14ac:dyDescent="0.25">
      <c r="A298" s="12">
        <f t="shared" si="80"/>
        <v>13</v>
      </c>
      <c r="B298" s="12" t="s">
        <v>598</v>
      </c>
      <c r="C298" s="13" t="s">
        <v>599</v>
      </c>
      <c r="D298" s="14">
        <v>45473</v>
      </c>
      <c r="E298" s="15">
        <v>10475.62608</v>
      </c>
      <c r="F298" s="16">
        <v>10</v>
      </c>
      <c r="G298" s="17">
        <f t="shared" si="77"/>
        <v>1047.562608</v>
      </c>
      <c r="H298" s="15">
        <v>52615.908000000003</v>
      </c>
      <c r="I298" s="15">
        <v>99365.682000000001</v>
      </c>
      <c r="J298" s="15">
        <v>66452.347999999998</v>
      </c>
      <c r="K298" s="15">
        <v>4138.2860000000001</v>
      </c>
      <c r="L298" s="15">
        <v>8885.6440000000002</v>
      </c>
      <c r="M298" s="17">
        <f t="shared" si="78"/>
        <v>3613.1170000000002</v>
      </c>
      <c r="N298" s="15">
        <v>5272.527</v>
      </c>
      <c r="O298" s="18">
        <v>0</v>
      </c>
      <c r="P298" s="18">
        <v>0</v>
      </c>
      <c r="Q298" s="19">
        <f t="shared" si="79"/>
        <v>0</v>
      </c>
      <c r="R298" s="18"/>
      <c r="S298" s="20">
        <v>13778</v>
      </c>
    </row>
    <row r="299" spans="1:19" ht="15.75" x14ac:dyDescent="0.25">
      <c r="A299" s="12">
        <f t="shared" si="80"/>
        <v>14</v>
      </c>
      <c r="B299" s="12" t="s">
        <v>600</v>
      </c>
      <c r="C299" s="13" t="s">
        <v>601</v>
      </c>
      <c r="D299" s="14">
        <v>45473</v>
      </c>
      <c r="E299" s="15">
        <v>2271.489</v>
      </c>
      <c r="F299" s="16">
        <v>10</v>
      </c>
      <c r="G299" s="17">
        <f t="shared" si="77"/>
        <v>227.1489</v>
      </c>
      <c r="H299" s="15">
        <v>45671.841</v>
      </c>
      <c r="I299" s="15">
        <v>85077.941999999995</v>
      </c>
      <c r="J299" s="15">
        <v>35519.271000000001</v>
      </c>
      <c r="K299" s="15">
        <v>2805.9560000000001</v>
      </c>
      <c r="L299" s="15">
        <v>8383.2199999999993</v>
      </c>
      <c r="M299" s="17">
        <f t="shared" si="78"/>
        <v>3207.0519999999997</v>
      </c>
      <c r="N299" s="15">
        <v>5176.1679999999997</v>
      </c>
      <c r="O299" s="18">
        <f>50+100</f>
        <v>150</v>
      </c>
      <c r="P299" s="18">
        <v>0</v>
      </c>
      <c r="Q299" s="19">
        <f t="shared" si="79"/>
        <v>150</v>
      </c>
      <c r="R299" s="18"/>
      <c r="S299" s="20">
        <v>6792</v>
      </c>
    </row>
    <row r="300" spans="1:19" ht="15.75" x14ac:dyDescent="0.25">
      <c r="A300" s="12">
        <f t="shared" si="80"/>
        <v>15</v>
      </c>
      <c r="B300" s="12" t="s">
        <v>602</v>
      </c>
      <c r="C300" s="13" t="s">
        <v>603</v>
      </c>
      <c r="D300" s="14">
        <v>45473</v>
      </c>
      <c r="E300" s="15">
        <v>11118.852000000001</v>
      </c>
      <c r="F300" s="16">
        <v>10</v>
      </c>
      <c r="G300" s="17">
        <f t="shared" si="77"/>
        <v>1111.8852000000002</v>
      </c>
      <c r="H300" s="15">
        <v>19419.120999999999</v>
      </c>
      <c r="I300" s="15">
        <v>47777.775999999998</v>
      </c>
      <c r="J300" s="15">
        <v>31077.214</v>
      </c>
      <c r="K300" s="15">
        <v>4975.0330000000004</v>
      </c>
      <c r="L300" s="15">
        <v>-1918.9190000000001</v>
      </c>
      <c r="M300" s="17">
        <f t="shared" si="78"/>
        <v>784.36500000000001</v>
      </c>
      <c r="N300" s="15">
        <v>-2703.2840000000001</v>
      </c>
      <c r="O300" s="18">
        <v>0</v>
      </c>
      <c r="P300" s="18">
        <v>0</v>
      </c>
      <c r="Q300" s="19">
        <f t="shared" si="79"/>
        <v>0</v>
      </c>
      <c r="R300" s="18"/>
      <c r="S300" s="20">
        <v>9799</v>
      </c>
    </row>
    <row r="301" spans="1:19" ht="15.75" x14ac:dyDescent="0.25">
      <c r="A301" s="12"/>
      <c r="B301" s="12" t="s">
        <v>604</v>
      </c>
      <c r="C301" s="13" t="s">
        <v>605</v>
      </c>
      <c r="D301" s="14">
        <v>45473</v>
      </c>
      <c r="E301" s="15"/>
      <c r="F301" s="16">
        <v>10</v>
      </c>
      <c r="G301" s="17">
        <f t="shared" si="77"/>
        <v>0</v>
      </c>
      <c r="H301" s="15"/>
      <c r="I301" s="15"/>
      <c r="J301" s="15"/>
      <c r="K301" s="15"/>
      <c r="L301" s="15"/>
      <c r="M301" s="17">
        <f t="shared" si="78"/>
        <v>0</v>
      </c>
      <c r="N301" s="15"/>
      <c r="O301" s="18"/>
      <c r="P301" s="18"/>
      <c r="Q301" s="19">
        <f t="shared" si="79"/>
        <v>0</v>
      </c>
      <c r="R301" s="18"/>
      <c r="S301" s="20"/>
    </row>
    <row r="302" spans="1:19" ht="15.75" x14ac:dyDescent="0.25">
      <c r="A302" s="12">
        <f>+A300+1</f>
        <v>16</v>
      </c>
      <c r="B302" s="12" t="s">
        <v>606</v>
      </c>
      <c r="C302" s="13" t="s">
        <v>607</v>
      </c>
      <c r="D302" s="14">
        <v>45473</v>
      </c>
      <c r="E302" s="15">
        <v>250</v>
      </c>
      <c r="F302" s="16">
        <v>10</v>
      </c>
      <c r="G302" s="17">
        <f t="shared" si="77"/>
        <v>25</v>
      </c>
      <c r="H302" s="15">
        <v>382.39362899999998</v>
      </c>
      <c r="I302" s="15">
        <v>805.62777100000005</v>
      </c>
      <c r="J302" s="15">
        <v>1262.4803589999999</v>
      </c>
      <c r="K302" s="15">
        <v>52.225884000000001</v>
      </c>
      <c r="L302" s="15">
        <v>146.64727099999999</v>
      </c>
      <c r="M302" s="17">
        <f t="shared" si="78"/>
        <v>35.041645999999986</v>
      </c>
      <c r="N302" s="15">
        <v>111.605625</v>
      </c>
      <c r="O302" s="18">
        <v>20</v>
      </c>
      <c r="P302" s="18">
        <v>0</v>
      </c>
      <c r="Q302" s="19">
        <f t="shared" si="79"/>
        <v>20</v>
      </c>
      <c r="R302" s="18"/>
      <c r="S302" s="20">
        <v>727</v>
      </c>
    </row>
    <row r="303" spans="1:19" ht="15.75" x14ac:dyDescent="0.25">
      <c r="A303" s="12">
        <f t="shared" si="80"/>
        <v>17</v>
      </c>
      <c r="B303" s="12" t="s">
        <v>608</v>
      </c>
      <c r="C303" s="13" t="s">
        <v>609</v>
      </c>
      <c r="D303" s="14">
        <v>45473</v>
      </c>
      <c r="E303" s="15">
        <v>847.18100000000004</v>
      </c>
      <c r="F303" s="16">
        <v>10</v>
      </c>
      <c r="G303" s="17">
        <f t="shared" si="77"/>
        <v>84.718100000000007</v>
      </c>
      <c r="H303" s="15">
        <v>4209.1880000000001</v>
      </c>
      <c r="I303" s="15">
        <v>7626.5810000000001</v>
      </c>
      <c r="J303" s="15">
        <v>7521.5770000000002</v>
      </c>
      <c r="K303" s="15">
        <v>53.290999999999997</v>
      </c>
      <c r="L303" s="15">
        <v>2472.9870000000001</v>
      </c>
      <c r="M303" s="17">
        <f t="shared" si="78"/>
        <v>971.95</v>
      </c>
      <c r="N303" s="15">
        <v>1501.037</v>
      </c>
      <c r="O303" s="18">
        <v>10</v>
      </c>
      <c r="P303" s="18">
        <v>0</v>
      </c>
      <c r="Q303" s="19">
        <f t="shared" si="79"/>
        <v>10</v>
      </c>
      <c r="R303" s="18"/>
      <c r="S303" s="20">
        <v>2024</v>
      </c>
    </row>
    <row r="304" spans="1:19" ht="15.75" x14ac:dyDescent="0.25">
      <c r="A304" s="12">
        <v>1</v>
      </c>
      <c r="B304" s="12" t="s">
        <v>610</v>
      </c>
      <c r="C304" s="21" t="s">
        <v>611</v>
      </c>
      <c r="D304" s="14">
        <v>45473</v>
      </c>
      <c r="E304" s="15">
        <v>982.36644000000001</v>
      </c>
      <c r="F304" s="16">
        <v>10</v>
      </c>
      <c r="G304" s="17">
        <f t="shared" ref="G304:G317" si="81">+E304/F304</f>
        <v>98.236643999999998</v>
      </c>
      <c r="H304" s="15">
        <v>245.309</v>
      </c>
      <c r="I304" s="15">
        <v>253.30199999999999</v>
      </c>
      <c r="J304" s="15">
        <v>0</v>
      </c>
      <c r="K304" s="15">
        <v>0</v>
      </c>
      <c r="L304" s="15">
        <v>5.1660000000000004</v>
      </c>
      <c r="M304" s="17">
        <f t="shared" ref="M304:M317" si="82">+L304-N304</f>
        <v>0.29300000000000015</v>
      </c>
      <c r="N304" s="15">
        <v>4.8730000000000002</v>
      </c>
      <c r="O304" s="18">
        <v>0</v>
      </c>
      <c r="P304" s="18">
        <v>0</v>
      </c>
      <c r="Q304" s="19">
        <f t="shared" ref="Q304:Q317" si="83">SUM(O304:P304)</f>
        <v>0</v>
      </c>
      <c r="R304" s="18"/>
      <c r="S304" s="20">
        <v>4820</v>
      </c>
    </row>
    <row r="305" spans="1:19" ht="15.75" x14ac:dyDescent="0.25">
      <c r="A305" s="12">
        <f>+A304+1</f>
        <v>2</v>
      </c>
      <c r="B305" s="12" t="s">
        <v>612</v>
      </c>
      <c r="C305" s="13" t="s">
        <v>613</v>
      </c>
      <c r="D305" s="14">
        <v>45473</v>
      </c>
      <c r="E305" s="15"/>
      <c r="F305" s="16">
        <v>10</v>
      </c>
      <c r="G305" s="17">
        <f t="shared" si="81"/>
        <v>0</v>
      </c>
      <c r="H305" s="15"/>
      <c r="I305" s="15"/>
      <c r="J305" s="15"/>
      <c r="K305" s="15"/>
      <c r="L305" s="15"/>
      <c r="M305" s="17">
        <f t="shared" si="82"/>
        <v>0</v>
      </c>
      <c r="N305" s="15"/>
      <c r="O305" s="18"/>
      <c r="P305" s="18"/>
      <c r="Q305" s="19">
        <f t="shared" si="83"/>
        <v>0</v>
      </c>
      <c r="R305" s="18"/>
      <c r="S305" s="20"/>
    </row>
    <row r="306" spans="1:19" ht="15.75" x14ac:dyDescent="0.25">
      <c r="A306" s="12">
        <v>1</v>
      </c>
      <c r="B306" s="22" t="s">
        <v>614</v>
      </c>
      <c r="C306" s="21" t="s">
        <v>615</v>
      </c>
      <c r="D306" s="14">
        <v>45473</v>
      </c>
      <c r="E306" s="15">
        <v>950.08488999999997</v>
      </c>
      <c r="F306" s="16">
        <v>10</v>
      </c>
      <c r="G306" s="17">
        <f t="shared" si="81"/>
        <v>95.008488999999997</v>
      </c>
      <c r="H306" s="15">
        <v>3542.0871029999998</v>
      </c>
      <c r="I306" s="15">
        <v>4127.6781440000004</v>
      </c>
      <c r="J306" s="15">
        <v>324.16283700000002</v>
      </c>
      <c r="K306" s="15">
        <v>23.065176999999998</v>
      </c>
      <c r="L306" s="15">
        <v>533.92030499999998</v>
      </c>
      <c r="M306" s="17">
        <f t="shared" si="82"/>
        <v>85.450623000000007</v>
      </c>
      <c r="N306" s="15">
        <v>448.46968199999998</v>
      </c>
      <c r="O306" s="18">
        <v>5</v>
      </c>
      <c r="P306" s="18">
        <v>0</v>
      </c>
      <c r="Q306" s="19">
        <f t="shared" si="83"/>
        <v>5</v>
      </c>
      <c r="R306" s="18"/>
      <c r="S306" s="20">
        <v>7392</v>
      </c>
    </row>
    <row r="307" spans="1:19" ht="15.75" x14ac:dyDescent="0.25">
      <c r="A307" s="12">
        <f>+A306+1</f>
        <v>2</v>
      </c>
      <c r="B307" s="22" t="s">
        <v>616</v>
      </c>
      <c r="C307" s="21" t="s">
        <v>617</v>
      </c>
      <c r="D307" s="14">
        <v>45473</v>
      </c>
      <c r="E307" s="15">
        <v>106.25852</v>
      </c>
      <c r="F307" s="16">
        <v>10</v>
      </c>
      <c r="G307" s="17">
        <f t="shared" si="81"/>
        <v>10.625852</v>
      </c>
      <c r="H307" s="15">
        <v>-76.396146000000002</v>
      </c>
      <c r="I307" s="15">
        <v>788.85466699999995</v>
      </c>
      <c r="J307" s="15">
        <v>362.86791799999997</v>
      </c>
      <c r="K307" s="15">
        <v>60.456868</v>
      </c>
      <c r="L307" s="15">
        <v>26.102924999999999</v>
      </c>
      <c r="M307" s="17">
        <f t="shared" si="82"/>
        <v>-4.2438870000000009</v>
      </c>
      <c r="N307" s="15">
        <v>30.346812</v>
      </c>
      <c r="O307" s="18">
        <v>0</v>
      </c>
      <c r="P307" s="18">
        <v>0</v>
      </c>
      <c r="Q307" s="19">
        <f t="shared" si="83"/>
        <v>0</v>
      </c>
      <c r="R307" s="18"/>
      <c r="S307" s="20">
        <v>996</v>
      </c>
    </row>
    <row r="308" spans="1:19" ht="15.75" x14ac:dyDescent="0.25">
      <c r="A308" s="12">
        <f>+A307+1</f>
        <v>3</v>
      </c>
      <c r="B308" s="12" t="s">
        <v>618</v>
      </c>
      <c r="C308" s="21" t="s">
        <v>619</v>
      </c>
      <c r="D308" s="14">
        <v>45473</v>
      </c>
      <c r="E308" s="15">
        <v>3808.6044700000002</v>
      </c>
      <c r="F308" s="16">
        <v>10</v>
      </c>
      <c r="G308" s="17">
        <f t="shared" si="81"/>
        <v>380.86044700000002</v>
      </c>
      <c r="H308" s="15">
        <v>25339.236000000001</v>
      </c>
      <c r="I308" s="15">
        <v>40313.731</v>
      </c>
      <c r="J308" s="15">
        <v>4214.9229999999998</v>
      </c>
      <c r="K308" s="15">
        <v>166.06100000000001</v>
      </c>
      <c r="L308" s="15">
        <v>2148.0540000000001</v>
      </c>
      <c r="M308" s="17">
        <f t="shared" si="82"/>
        <v>444.42700000000013</v>
      </c>
      <c r="N308" s="15">
        <v>1703.627</v>
      </c>
      <c r="O308" s="18">
        <v>40</v>
      </c>
      <c r="P308" s="18">
        <v>0</v>
      </c>
      <c r="Q308" s="19">
        <f t="shared" si="83"/>
        <v>40</v>
      </c>
      <c r="R308" s="18"/>
      <c r="S308" s="20">
        <v>3015</v>
      </c>
    </row>
    <row r="309" spans="1:19" ht="15.75" x14ac:dyDescent="0.25">
      <c r="A309" s="22">
        <f>+A308+1</f>
        <v>4</v>
      </c>
      <c r="B309" s="22" t="s">
        <v>620</v>
      </c>
      <c r="C309" s="13" t="s">
        <v>621</v>
      </c>
      <c r="D309" s="14">
        <v>45473</v>
      </c>
      <c r="E309" s="15">
        <v>2788.76604</v>
      </c>
      <c r="F309" s="16">
        <v>10</v>
      </c>
      <c r="G309" s="17">
        <f t="shared" si="81"/>
        <v>278.87660399999999</v>
      </c>
      <c r="H309" s="15">
        <v>-1149.3440000000001</v>
      </c>
      <c r="I309" s="15">
        <v>7383.5110000000004</v>
      </c>
      <c r="J309" s="15">
        <v>2056.2440000000001</v>
      </c>
      <c r="K309" s="15">
        <v>222.40600000000001</v>
      </c>
      <c r="L309" s="15">
        <v>526.69000000000005</v>
      </c>
      <c r="M309" s="17">
        <f t="shared" si="82"/>
        <v>0</v>
      </c>
      <c r="N309" s="15">
        <v>526.69000000000005</v>
      </c>
      <c r="O309" s="18">
        <v>0</v>
      </c>
      <c r="P309" s="18">
        <v>0</v>
      </c>
      <c r="Q309" s="19">
        <f t="shared" si="83"/>
        <v>0</v>
      </c>
      <c r="R309" s="18"/>
      <c r="S309" s="20">
        <v>9676</v>
      </c>
    </row>
    <row r="310" spans="1:19" ht="15.75" x14ac:dyDescent="0.25">
      <c r="A310" s="22">
        <f>+A309+1</f>
        <v>5</v>
      </c>
      <c r="B310" s="12" t="s">
        <v>622</v>
      </c>
      <c r="C310" s="13" t="s">
        <v>623</v>
      </c>
      <c r="D310" s="14">
        <v>45473</v>
      </c>
      <c r="E310" s="15">
        <v>5610.8687600000003</v>
      </c>
      <c r="F310" s="16">
        <v>10</v>
      </c>
      <c r="G310" s="17">
        <f t="shared" si="81"/>
        <v>561.08687600000007</v>
      </c>
      <c r="H310" s="15"/>
      <c r="I310" s="15"/>
      <c r="J310" s="15"/>
      <c r="K310" s="15"/>
      <c r="L310" s="15">
        <v>-3630.1529999999998</v>
      </c>
      <c r="M310" s="17">
        <f t="shared" si="82"/>
        <v>0</v>
      </c>
      <c r="N310" s="15">
        <v>-3630.1529999999998</v>
      </c>
      <c r="O310" s="18">
        <v>0</v>
      </c>
      <c r="P310" s="18">
        <v>0</v>
      </c>
      <c r="Q310" s="19">
        <f t="shared" si="83"/>
        <v>0</v>
      </c>
      <c r="R310" s="18"/>
      <c r="S310" s="20"/>
    </row>
    <row r="311" spans="1:19" ht="15.75" x14ac:dyDescent="0.25">
      <c r="A311" s="12">
        <v>1</v>
      </c>
      <c r="B311" s="12" t="s">
        <v>624</v>
      </c>
      <c r="C311" s="13" t="s">
        <v>625</v>
      </c>
      <c r="D311" s="14">
        <v>45473</v>
      </c>
      <c r="E311" s="15">
        <v>69.223680000000002</v>
      </c>
      <c r="F311" s="16">
        <v>10</v>
      </c>
      <c r="G311" s="17">
        <f t="shared" si="81"/>
        <v>6.9223680000000005</v>
      </c>
      <c r="H311" s="15"/>
      <c r="I311" s="15"/>
      <c r="J311" s="15"/>
      <c r="K311" s="15"/>
      <c r="L311" s="15">
        <v>-1018.099</v>
      </c>
      <c r="M311" s="17">
        <f t="shared" si="82"/>
        <v>3.8979999999999109</v>
      </c>
      <c r="N311" s="15">
        <v>-1021.997</v>
      </c>
      <c r="O311" s="18">
        <v>0</v>
      </c>
      <c r="P311" s="18">
        <v>0</v>
      </c>
      <c r="Q311" s="19">
        <f t="shared" si="83"/>
        <v>0</v>
      </c>
      <c r="R311" s="18"/>
      <c r="S311" s="20"/>
    </row>
    <row r="312" spans="1:19" ht="15.75" x14ac:dyDescent="0.25">
      <c r="A312" s="12">
        <f>+A311+1</f>
        <v>2</v>
      </c>
      <c r="B312" s="12" t="s">
        <v>626</v>
      </c>
      <c r="C312" s="13" t="s">
        <v>627</v>
      </c>
      <c r="D312" s="14">
        <v>45657</v>
      </c>
      <c r="E312" s="15">
        <v>2554.9379199999998</v>
      </c>
      <c r="F312" s="16">
        <v>10</v>
      </c>
      <c r="G312" s="17">
        <f t="shared" si="81"/>
        <v>255.49379199999998</v>
      </c>
      <c r="H312" s="15"/>
      <c r="I312" s="15"/>
      <c r="J312" s="15"/>
      <c r="K312" s="15"/>
      <c r="L312" s="15"/>
      <c r="M312" s="17">
        <f t="shared" si="82"/>
        <v>0</v>
      </c>
      <c r="N312" s="15"/>
      <c r="O312" s="18">
        <f>300+300+350+300</f>
        <v>1250</v>
      </c>
      <c r="P312" s="18"/>
      <c r="Q312" s="19">
        <f t="shared" si="83"/>
        <v>1250</v>
      </c>
      <c r="R312" s="18"/>
      <c r="S312" s="20"/>
    </row>
    <row r="313" spans="1:19" ht="15.75" x14ac:dyDescent="0.25">
      <c r="A313" s="12">
        <f>+A312+1</f>
        <v>3</v>
      </c>
      <c r="B313" s="12" t="s">
        <v>628</v>
      </c>
      <c r="C313" s="13" t="s">
        <v>629</v>
      </c>
      <c r="D313" s="14">
        <v>45657</v>
      </c>
      <c r="E313" s="15"/>
      <c r="F313" s="16">
        <v>10</v>
      </c>
      <c r="G313" s="17">
        <f t="shared" si="81"/>
        <v>0</v>
      </c>
      <c r="H313" s="15"/>
      <c r="I313" s="15"/>
      <c r="J313" s="15"/>
      <c r="K313" s="15"/>
      <c r="L313" s="15"/>
      <c r="M313" s="17">
        <f t="shared" si="82"/>
        <v>0</v>
      </c>
      <c r="N313" s="15"/>
      <c r="O313" s="18"/>
      <c r="P313" s="18"/>
      <c r="Q313" s="19">
        <f t="shared" si="83"/>
        <v>0</v>
      </c>
      <c r="R313" s="18"/>
      <c r="S313" s="20"/>
    </row>
    <row r="314" spans="1:19" ht="15.75" x14ac:dyDescent="0.25">
      <c r="A314" s="22">
        <v>1</v>
      </c>
      <c r="B314" s="22" t="s">
        <v>630</v>
      </c>
      <c r="C314" s="13" t="s">
        <v>631</v>
      </c>
      <c r="D314" s="14">
        <v>45473</v>
      </c>
      <c r="E314" s="15">
        <v>1066.1624999999999</v>
      </c>
      <c r="F314" s="16">
        <v>10</v>
      </c>
      <c r="G314" s="17">
        <f t="shared" si="81"/>
        <v>106.61624999999999</v>
      </c>
      <c r="H314" s="15">
        <v>133499.98699999999</v>
      </c>
      <c r="I314" s="15">
        <v>214088.133</v>
      </c>
      <c r="J314" s="15">
        <v>382916.67300000001</v>
      </c>
      <c r="K314" s="15"/>
      <c r="L314" s="15">
        <v>40404.107000000004</v>
      </c>
      <c r="M314" s="17">
        <f t="shared" si="82"/>
        <v>15160.246000000003</v>
      </c>
      <c r="N314" s="15">
        <v>25243.861000000001</v>
      </c>
      <c r="O314" s="18">
        <f>25+125</f>
        <v>150</v>
      </c>
      <c r="P314" s="18">
        <v>0</v>
      </c>
      <c r="Q314" s="19">
        <f t="shared" si="83"/>
        <v>150</v>
      </c>
      <c r="R314" s="18"/>
      <c r="S314" s="20">
        <v>5892</v>
      </c>
    </row>
    <row r="315" spans="1:19" ht="15.75" x14ac:dyDescent="0.25">
      <c r="A315" s="22">
        <f>+A314+1</f>
        <v>2</v>
      </c>
      <c r="B315" s="22" t="s">
        <v>632</v>
      </c>
      <c r="C315" s="13" t="s">
        <v>633</v>
      </c>
      <c r="D315" s="14">
        <v>45473</v>
      </c>
      <c r="E315" s="15">
        <v>54934.475709999999</v>
      </c>
      <c r="F315" s="16">
        <v>10</v>
      </c>
      <c r="G315" s="17">
        <f t="shared" si="81"/>
        <v>5493.4475709999997</v>
      </c>
      <c r="H315" s="15">
        <v>205120.27799999999</v>
      </c>
      <c r="I315" s="15">
        <v>368085.674</v>
      </c>
      <c r="J315" s="15">
        <v>240626.16899999999</v>
      </c>
      <c r="K315" s="15">
        <v>9387.1010000000006</v>
      </c>
      <c r="L315" s="15">
        <v>1485.028</v>
      </c>
      <c r="M315" s="17">
        <f t="shared" si="82"/>
        <v>476.654</v>
      </c>
      <c r="N315" s="15">
        <v>1008.374</v>
      </c>
      <c r="O315" s="18">
        <v>0</v>
      </c>
      <c r="P315" s="18">
        <v>0</v>
      </c>
      <c r="Q315" s="19">
        <f t="shared" si="83"/>
        <v>0</v>
      </c>
      <c r="R315" s="18"/>
      <c r="S315" s="20">
        <v>26610</v>
      </c>
    </row>
    <row r="316" spans="1:19" ht="15.75" x14ac:dyDescent="0.25">
      <c r="A316" s="22">
        <f>+A315+1</f>
        <v>3</v>
      </c>
      <c r="B316" s="22" t="s">
        <v>634</v>
      </c>
      <c r="C316" s="13" t="s">
        <v>635</v>
      </c>
      <c r="D316" s="14">
        <v>45473</v>
      </c>
      <c r="E316" s="15">
        <v>799.66560000000004</v>
      </c>
      <c r="F316" s="16">
        <v>10</v>
      </c>
      <c r="G316" s="17">
        <f t="shared" si="81"/>
        <v>79.966560000000001</v>
      </c>
      <c r="H316" s="15">
        <v>19216.555</v>
      </c>
      <c r="I316" s="15">
        <v>103172.33900000001</v>
      </c>
      <c r="J316" s="15">
        <v>308841.82799999998</v>
      </c>
      <c r="K316" s="15">
        <v>9310.0529999999999</v>
      </c>
      <c r="L316" s="15">
        <v>-18655.947</v>
      </c>
      <c r="M316" s="17">
        <f t="shared" si="82"/>
        <v>-2865.732</v>
      </c>
      <c r="N316" s="15">
        <v>-15790.215</v>
      </c>
      <c r="O316" s="18">
        <v>0</v>
      </c>
      <c r="P316" s="18">
        <v>0</v>
      </c>
      <c r="Q316" s="19">
        <f t="shared" si="83"/>
        <v>0</v>
      </c>
      <c r="R316" s="18"/>
      <c r="S316" s="20">
        <v>7540</v>
      </c>
    </row>
    <row r="317" spans="1:19" ht="15.75" x14ac:dyDescent="0.25">
      <c r="A317" s="22">
        <f>+A316+1</f>
        <v>4</v>
      </c>
      <c r="B317" s="22" t="s">
        <v>636</v>
      </c>
      <c r="C317" s="13" t="s">
        <v>637</v>
      </c>
      <c r="D317" s="14">
        <v>45473</v>
      </c>
      <c r="E317" s="15">
        <v>6300</v>
      </c>
      <c r="F317" s="16">
        <v>10</v>
      </c>
      <c r="G317" s="17">
        <f t="shared" si="81"/>
        <v>630</v>
      </c>
      <c r="H317" s="15">
        <v>29570.664000000001</v>
      </c>
      <c r="I317" s="15">
        <v>107925.519</v>
      </c>
      <c r="J317" s="15">
        <v>305539.679</v>
      </c>
      <c r="K317" s="15">
        <v>3785.6030000000001</v>
      </c>
      <c r="L317" s="15">
        <v>7068.6710000000003</v>
      </c>
      <c r="M317" s="17">
        <f t="shared" si="82"/>
        <v>3007.0360000000001</v>
      </c>
      <c r="N317" s="15">
        <v>4061.6350000000002</v>
      </c>
      <c r="O317" s="18">
        <v>20</v>
      </c>
      <c r="P317" s="18">
        <v>0</v>
      </c>
      <c r="Q317" s="19">
        <f t="shared" si="83"/>
        <v>20</v>
      </c>
      <c r="R317" s="18"/>
      <c r="S317" s="20">
        <v>16935</v>
      </c>
    </row>
    <row r="318" spans="1:19" ht="15.75" x14ac:dyDescent="0.25">
      <c r="A318" s="12">
        <v>1</v>
      </c>
      <c r="B318" s="12" t="s">
        <v>638</v>
      </c>
      <c r="C318" s="13" t="s">
        <v>639</v>
      </c>
      <c r="D318" s="14">
        <v>45473</v>
      </c>
      <c r="E318" s="15">
        <f>363.38*F318</f>
        <v>3633.8</v>
      </c>
      <c r="F318" s="16">
        <v>10</v>
      </c>
      <c r="G318" s="17">
        <f t="shared" ref="G318:G332" si="84">+E318/F318</f>
        <v>363.38</v>
      </c>
      <c r="H318" s="15"/>
      <c r="I318" s="15"/>
      <c r="J318" s="15"/>
      <c r="K318" s="15"/>
      <c r="L318" s="15">
        <v>4341.2879999999996</v>
      </c>
      <c r="M318" s="17">
        <f t="shared" ref="M318:M332" si="85">+L318-N318</f>
        <v>4.975999999999658</v>
      </c>
      <c r="N318" s="15">
        <v>4336.3119999999999</v>
      </c>
      <c r="O318" s="18">
        <f>47.5+15+15</f>
        <v>77.5</v>
      </c>
      <c r="P318" s="18">
        <v>0</v>
      </c>
      <c r="Q318" s="19">
        <f t="shared" ref="Q318:Q332" si="86">SUM(O318:P318)</f>
        <v>77.5</v>
      </c>
      <c r="R318" s="18"/>
      <c r="S318" s="20"/>
    </row>
    <row r="319" spans="1:19" ht="15.75" x14ac:dyDescent="0.25">
      <c r="A319" s="12">
        <f t="shared" ref="A319:A332" si="87">+A318+1</f>
        <v>2</v>
      </c>
      <c r="B319" s="12" t="s">
        <v>640</v>
      </c>
      <c r="C319" s="13" t="s">
        <v>641</v>
      </c>
      <c r="D319" s="14">
        <v>45657</v>
      </c>
      <c r="E319" s="15">
        <v>3238</v>
      </c>
      <c r="F319" s="16">
        <v>10</v>
      </c>
      <c r="G319" s="17">
        <f t="shared" si="84"/>
        <v>323.8</v>
      </c>
      <c r="H319" s="15"/>
      <c r="I319" s="15"/>
      <c r="J319" s="15"/>
      <c r="K319" s="15"/>
      <c r="L319" s="15"/>
      <c r="M319" s="17">
        <f t="shared" si="85"/>
        <v>0</v>
      </c>
      <c r="N319" s="15"/>
      <c r="O319" s="18">
        <f>35+25</f>
        <v>60</v>
      </c>
      <c r="P319" s="18"/>
      <c r="Q319" s="19">
        <f t="shared" si="86"/>
        <v>60</v>
      </c>
      <c r="R319" s="18"/>
      <c r="S319" s="20"/>
    </row>
    <row r="320" spans="1:19" ht="15.75" x14ac:dyDescent="0.25">
      <c r="A320" s="12">
        <f t="shared" si="87"/>
        <v>3</v>
      </c>
      <c r="B320" s="12" t="s">
        <v>642</v>
      </c>
      <c r="C320" s="13" t="s">
        <v>643</v>
      </c>
      <c r="D320" s="14">
        <v>45473</v>
      </c>
      <c r="E320" s="15">
        <f>1297.1544*F320</f>
        <v>12971.543999999998</v>
      </c>
      <c r="F320" s="16">
        <v>10</v>
      </c>
      <c r="G320" s="17">
        <f t="shared" si="84"/>
        <v>1297.1543999999999</v>
      </c>
      <c r="H320" s="15">
        <v>73812.781000000003</v>
      </c>
      <c r="I320" s="15">
        <v>157390.02600000001</v>
      </c>
      <c r="J320" s="15">
        <v>41534.404000000002</v>
      </c>
      <c r="K320" s="15">
        <v>10691.325000000001</v>
      </c>
      <c r="L320" s="15">
        <v>34909.038999999997</v>
      </c>
      <c r="M320" s="17">
        <f t="shared" si="85"/>
        <v>1029.8629999999976</v>
      </c>
      <c r="N320" s="15">
        <v>33879.175999999999</v>
      </c>
      <c r="O320" s="18">
        <f>50+40+25+85</f>
        <v>200</v>
      </c>
      <c r="P320" s="18">
        <v>0</v>
      </c>
      <c r="Q320" s="19">
        <f t="shared" si="86"/>
        <v>200</v>
      </c>
      <c r="R320" s="18"/>
      <c r="S320" s="20">
        <v>23239</v>
      </c>
    </row>
    <row r="321" spans="1:19" ht="15.75" x14ac:dyDescent="0.25">
      <c r="A321" s="12">
        <f t="shared" si="87"/>
        <v>4</v>
      </c>
      <c r="B321" s="12" t="s">
        <v>644</v>
      </c>
      <c r="C321" s="13" t="s">
        <v>645</v>
      </c>
      <c r="D321" s="14">
        <v>45473</v>
      </c>
      <c r="E321" s="15">
        <v>8802.5322799999994</v>
      </c>
      <c r="F321" s="16">
        <v>10</v>
      </c>
      <c r="G321" s="17">
        <f t="shared" si="84"/>
        <v>880.25322799999992</v>
      </c>
      <c r="H321" s="15">
        <v>61961.430999999997</v>
      </c>
      <c r="I321" s="15">
        <v>81551.254000000001</v>
      </c>
      <c r="J321" s="15">
        <v>0</v>
      </c>
      <c r="K321" s="15">
        <v>3779.7689999999998</v>
      </c>
      <c r="L321" s="15">
        <v>3361.3359999999998</v>
      </c>
      <c r="M321" s="17">
        <f t="shared" si="85"/>
        <v>-952.28200000000061</v>
      </c>
      <c r="N321" s="15">
        <v>4313.6180000000004</v>
      </c>
      <c r="O321" s="18">
        <f>45+40</f>
        <v>85</v>
      </c>
      <c r="P321" s="18">
        <v>0</v>
      </c>
      <c r="Q321" s="19">
        <f t="shared" si="86"/>
        <v>85</v>
      </c>
      <c r="R321" s="18"/>
      <c r="S321" s="20">
        <v>61328</v>
      </c>
    </row>
    <row r="322" spans="1:19" ht="15.75" x14ac:dyDescent="0.25">
      <c r="A322" s="12">
        <f t="shared" si="87"/>
        <v>5</v>
      </c>
      <c r="B322" s="12" t="s">
        <v>646</v>
      </c>
      <c r="C322" s="13" t="s">
        <v>647</v>
      </c>
      <c r="D322" s="14">
        <v>45473</v>
      </c>
      <c r="E322" s="15"/>
      <c r="F322" s="16">
        <v>3.5</v>
      </c>
      <c r="G322" s="17">
        <f t="shared" si="84"/>
        <v>0</v>
      </c>
      <c r="H322" s="15"/>
      <c r="I322" s="15"/>
      <c r="J322" s="15"/>
      <c r="K322" s="15"/>
      <c r="L322" s="15"/>
      <c r="M322" s="17">
        <f t="shared" si="85"/>
        <v>0</v>
      </c>
      <c r="N322" s="15"/>
      <c r="O322" s="18"/>
      <c r="P322" s="18"/>
      <c r="Q322" s="19">
        <f t="shared" si="86"/>
        <v>0</v>
      </c>
      <c r="R322" s="18"/>
      <c r="S322" s="20"/>
    </row>
    <row r="323" spans="1:19" ht="15.75" x14ac:dyDescent="0.25">
      <c r="A323" s="12">
        <f t="shared" si="87"/>
        <v>6</v>
      </c>
      <c r="B323" s="12" t="s">
        <v>648</v>
      </c>
      <c r="C323" s="13" t="s">
        <v>649</v>
      </c>
      <c r="D323" s="14">
        <v>45473</v>
      </c>
      <c r="E323" s="15">
        <v>1694.5861399999999</v>
      </c>
      <c r="F323" s="16">
        <v>10</v>
      </c>
      <c r="G323" s="17">
        <f t="shared" si="84"/>
        <v>169.45861399999998</v>
      </c>
      <c r="H323" s="15">
        <v>4526.4409999999998</v>
      </c>
      <c r="I323" s="15">
        <v>7731.7520000000004</v>
      </c>
      <c r="J323" s="15">
        <v>10009.893</v>
      </c>
      <c r="K323" s="15">
        <v>319.99200000000002</v>
      </c>
      <c r="L323" s="15">
        <v>1602.502</v>
      </c>
      <c r="M323" s="17">
        <f t="shared" si="85"/>
        <v>2.0039999999999054</v>
      </c>
      <c r="N323" s="15">
        <v>1600.498</v>
      </c>
      <c r="O323" s="18">
        <f>40+55+50</f>
        <v>145</v>
      </c>
      <c r="P323" s="18">
        <v>0</v>
      </c>
      <c r="Q323" s="19">
        <f t="shared" si="86"/>
        <v>145</v>
      </c>
      <c r="R323" s="18"/>
      <c r="S323" s="20">
        <v>2660</v>
      </c>
    </row>
    <row r="324" spans="1:19" ht="15.75" x14ac:dyDescent="0.25">
      <c r="A324" s="12">
        <f t="shared" si="87"/>
        <v>7</v>
      </c>
      <c r="B324" s="12" t="s">
        <v>650</v>
      </c>
      <c r="C324" s="13" t="s">
        <v>651</v>
      </c>
      <c r="D324" s="14">
        <v>45473</v>
      </c>
      <c r="E324" s="15">
        <v>126</v>
      </c>
      <c r="F324" s="16">
        <v>10</v>
      </c>
      <c r="G324" s="17">
        <f>+E324/F324</f>
        <v>12.6</v>
      </c>
      <c r="H324" s="15">
        <v>111.190613</v>
      </c>
      <c r="I324" s="15">
        <v>114.903971</v>
      </c>
      <c r="J324" s="15">
        <v>11.118458</v>
      </c>
      <c r="K324" s="15">
        <v>0</v>
      </c>
      <c r="L324" s="15">
        <v>-15.766786</v>
      </c>
      <c r="M324" s="17">
        <f>+L324-N324</f>
        <v>-3.8639999999999119E-2</v>
      </c>
      <c r="N324" s="15">
        <v>-15.728146000000001</v>
      </c>
      <c r="O324" s="18">
        <v>0</v>
      </c>
      <c r="P324" s="18">
        <v>0</v>
      </c>
      <c r="Q324" s="19">
        <f>SUM(O324:P324)</f>
        <v>0</v>
      </c>
      <c r="R324" s="18"/>
      <c r="S324" s="20">
        <v>1332</v>
      </c>
    </row>
    <row r="325" spans="1:19" ht="15.75" x14ac:dyDescent="0.25">
      <c r="A325" s="12">
        <f t="shared" si="87"/>
        <v>8</v>
      </c>
      <c r="B325" s="12" t="s">
        <v>652</v>
      </c>
      <c r="C325" s="13" t="s">
        <v>653</v>
      </c>
      <c r="D325" s="14">
        <v>45657</v>
      </c>
      <c r="E325" s="15">
        <v>3798.3873199999998</v>
      </c>
      <c r="F325" s="16">
        <v>10</v>
      </c>
      <c r="G325" s="17">
        <f t="shared" si="84"/>
        <v>379.83873199999999</v>
      </c>
      <c r="H325" s="15"/>
      <c r="I325" s="15"/>
      <c r="J325" s="15"/>
      <c r="K325" s="15"/>
      <c r="L325" s="15"/>
      <c r="M325" s="17">
        <f t="shared" si="85"/>
        <v>0</v>
      </c>
      <c r="N325" s="15"/>
      <c r="O325" s="18">
        <f>20+20</f>
        <v>40</v>
      </c>
      <c r="P325" s="18"/>
      <c r="Q325" s="19">
        <f t="shared" si="86"/>
        <v>40</v>
      </c>
      <c r="R325" s="18"/>
      <c r="S325" s="20"/>
    </row>
    <row r="326" spans="1:19" ht="15.75" x14ac:dyDescent="0.25">
      <c r="A326" s="12">
        <f t="shared" si="87"/>
        <v>9</v>
      </c>
      <c r="B326" s="12" t="s">
        <v>654</v>
      </c>
      <c r="C326" s="13" t="s">
        <v>655</v>
      </c>
      <c r="D326" s="14">
        <v>45473</v>
      </c>
      <c r="E326" s="15">
        <v>3673.4693900000002</v>
      </c>
      <c r="F326" s="16">
        <v>10</v>
      </c>
      <c r="G326" s="17">
        <f t="shared" si="84"/>
        <v>367.34693900000002</v>
      </c>
      <c r="H326" s="15">
        <v>29174.368999999999</v>
      </c>
      <c r="I326" s="15">
        <v>31986.688999999998</v>
      </c>
      <c r="J326" s="15">
        <v>15215.087</v>
      </c>
      <c r="K326" s="15">
        <v>227.65899999999999</v>
      </c>
      <c r="L326" s="15">
        <v>4918.8130000000001</v>
      </c>
      <c r="M326" s="17">
        <f t="shared" si="85"/>
        <v>6.5010000000002037</v>
      </c>
      <c r="N326" s="15">
        <v>4912.3119999999999</v>
      </c>
      <c r="O326" s="18">
        <v>0</v>
      </c>
      <c r="P326" s="18">
        <v>0</v>
      </c>
      <c r="Q326" s="19">
        <f t="shared" si="86"/>
        <v>0</v>
      </c>
      <c r="R326" s="18"/>
      <c r="S326" s="20">
        <v>9455</v>
      </c>
    </row>
    <row r="327" spans="1:19" ht="15.75" x14ac:dyDescent="0.25">
      <c r="A327" s="12">
        <f t="shared" si="87"/>
        <v>10</v>
      </c>
      <c r="B327" s="12" t="s">
        <v>656</v>
      </c>
      <c r="C327" s="13" t="s">
        <v>657</v>
      </c>
      <c r="D327" s="14">
        <v>45473</v>
      </c>
      <c r="E327" s="15">
        <v>3540.8850000000002</v>
      </c>
      <c r="F327" s="16">
        <v>10</v>
      </c>
      <c r="G327" s="17">
        <f t="shared" si="84"/>
        <v>354.08850000000001</v>
      </c>
      <c r="H327" s="15">
        <v>32616.923999999999</v>
      </c>
      <c r="I327" s="15">
        <v>37896.805</v>
      </c>
      <c r="J327" s="15">
        <v>22505.489000000001</v>
      </c>
      <c r="K327" s="15">
        <v>33.643000000000001</v>
      </c>
      <c r="L327" s="15">
        <v>5609.0969999999998</v>
      </c>
      <c r="M327" s="17">
        <f t="shared" si="85"/>
        <v>219.52300000000014</v>
      </c>
      <c r="N327" s="15">
        <v>5389.5739999999996</v>
      </c>
      <c r="O327" s="18">
        <f>25+20+50</f>
        <v>95</v>
      </c>
      <c r="P327" s="18">
        <v>0</v>
      </c>
      <c r="Q327" s="19">
        <f t="shared" si="86"/>
        <v>95</v>
      </c>
      <c r="R327" s="18"/>
      <c r="S327" s="20">
        <v>4743</v>
      </c>
    </row>
    <row r="328" spans="1:19" ht="15.75" x14ac:dyDescent="0.25">
      <c r="A328" s="12">
        <f t="shared" si="87"/>
        <v>11</v>
      </c>
      <c r="B328" s="12" t="s">
        <v>658</v>
      </c>
      <c r="C328" s="13" t="s">
        <v>659</v>
      </c>
      <c r="D328" s="14">
        <v>45657</v>
      </c>
      <c r="E328" s="15">
        <v>3720.8159099999998</v>
      </c>
      <c r="F328" s="16">
        <v>10</v>
      </c>
      <c r="G328" s="17">
        <f t="shared" si="84"/>
        <v>372.081591</v>
      </c>
      <c r="H328" s="15"/>
      <c r="I328" s="15"/>
      <c r="J328" s="15"/>
      <c r="K328" s="15"/>
      <c r="L328" s="15"/>
      <c r="M328" s="17">
        <f t="shared" si="85"/>
        <v>0</v>
      </c>
      <c r="N328" s="15"/>
      <c r="O328" s="18">
        <f>20+30+20</f>
        <v>70</v>
      </c>
      <c r="P328" s="18"/>
      <c r="Q328" s="19">
        <f t="shared" si="86"/>
        <v>70</v>
      </c>
      <c r="R328" s="18"/>
      <c r="S328" s="20"/>
    </row>
    <row r="329" spans="1:19" ht="15.75" x14ac:dyDescent="0.25">
      <c r="A329" s="12">
        <f t="shared" si="87"/>
        <v>12</v>
      </c>
      <c r="B329" s="12" t="s">
        <v>660</v>
      </c>
      <c r="C329" s="13" t="s">
        <v>661</v>
      </c>
      <c r="D329" s="14">
        <v>45473</v>
      </c>
      <c r="E329" s="15">
        <v>190.92</v>
      </c>
      <c r="F329" s="16">
        <v>10</v>
      </c>
      <c r="G329" s="17">
        <f t="shared" si="84"/>
        <v>19.091999999999999</v>
      </c>
      <c r="H329" s="15">
        <v>1171.7580109999999</v>
      </c>
      <c r="I329" s="15">
        <v>3520.0585329999999</v>
      </c>
      <c r="J329" s="15">
        <v>916.05571099999997</v>
      </c>
      <c r="K329" s="15">
        <v>163.23554300000001</v>
      </c>
      <c r="L329" s="15">
        <v>68.963319999999996</v>
      </c>
      <c r="M329" s="17">
        <f t="shared" si="85"/>
        <v>26.972073999999999</v>
      </c>
      <c r="N329" s="15">
        <v>41.991245999999997</v>
      </c>
      <c r="O329" s="18">
        <v>0</v>
      </c>
      <c r="P329" s="18">
        <v>0</v>
      </c>
      <c r="Q329" s="19">
        <f t="shared" si="86"/>
        <v>0</v>
      </c>
      <c r="R329" s="18"/>
      <c r="S329" s="20">
        <v>1225</v>
      </c>
    </row>
    <row r="330" spans="1:19" ht="15.75" x14ac:dyDescent="0.25">
      <c r="A330" s="12">
        <f t="shared" si="87"/>
        <v>13</v>
      </c>
      <c r="B330" s="12" t="s">
        <v>662</v>
      </c>
      <c r="C330" s="13" t="s">
        <v>663</v>
      </c>
      <c r="D330" s="14">
        <v>45473</v>
      </c>
      <c r="E330" s="15">
        <v>178.33267000000001</v>
      </c>
      <c r="F330" s="16">
        <v>10</v>
      </c>
      <c r="G330" s="17">
        <f>+E330/F330</f>
        <v>17.833266999999999</v>
      </c>
      <c r="H330" s="15">
        <v>9.0754680000000008</v>
      </c>
      <c r="I330" s="15">
        <v>18.433229999999998</v>
      </c>
      <c r="J330" s="15">
        <v>17.302191000000001</v>
      </c>
      <c r="K330" s="15">
        <v>0</v>
      </c>
      <c r="L330" s="15">
        <v>1.667521</v>
      </c>
      <c r="M330" s="17">
        <f>+L330-N330</f>
        <v>0</v>
      </c>
      <c r="N330" s="15">
        <v>1.667521</v>
      </c>
      <c r="O330" s="18">
        <v>0</v>
      </c>
      <c r="P330" s="18">
        <v>0</v>
      </c>
      <c r="Q330" s="19">
        <f>SUM(O330:P330)</f>
        <v>0</v>
      </c>
      <c r="R330" s="18"/>
      <c r="S330" s="20"/>
    </row>
    <row r="331" spans="1:19" ht="15.75" x14ac:dyDescent="0.25">
      <c r="A331" s="12">
        <f t="shared" si="87"/>
        <v>14</v>
      </c>
      <c r="B331" s="12" t="s">
        <v>664</v>
      </c>
      <c r="C331" s="13" t="s">
        <v>665</v>
      </c>
      <c r="D331" s="14">
        <v>45657</v>
      </c>
      <c r="E331" s="15">
        <v>3864.7177900000002</v>
      </c>
      <c r="F331" s="16">
        <v>10</v>
      </c>
      <c r="G331" s="17">
        <f t="shared" si="84"/>
        <v>386.47177900000003</v>
      </c>
      <c r="H331" s="15"/>
      <c r="I331" s="15"/>
      <c r="J331" s="15"/>
      <c r="K331" s="15"/>
      <c r="L331" s="15"/>
      <c r="M331" s="17">
        <f t="shared" si="85"/>
        <v>0</v>
      </c>
      <c r="N331" s="15"/>
      <c r="O331" s="18">
        <f>12.5</f>
        <v>12.5</v>
      </c>
      <c r="P331" s="18"/>
      <c r="Q331" s="19">
        <f t="shared" si="86"/>
        <v>12.5</v>
      </c>
      <c r="R331" s="18"/>
      <c r="S331" s="20"/>
    </row>
    <row r="332" spans="1:19" ht="15.75" x14ac:dyDescent="0.25">
      <c r="A332" s="12">
        <f t="shared" si="87"/>
        <v>15</v>
      </c>
      <c r="B332" s="12" t="s">
        <v>666</v>
      </c>
      <c r="C332" s="13" t="s">
        <v>667</v>
      </c>
      <c r="D332" s="14">
        <v>45473</v>
      </c>
      <c r="E332" s="15">
        <v>150</v>
      </c>
      <c r="F332" s="16">
        <v>10</v>
      </c>
      <c r="G332" s="17">
        <f t="shared" si="84"/>
        <v>15</v>
      </c>
      <c r="H332" s="15">
        <v>186.10650799999999</v>
      </c>
      <c r="I332" s="15">
        <v>219.243325</v>
      </c>
      <c r="J332" s="15">
        <v>5</v>
      </c>
      <c r="K332" s="15">
        <v>1.8000000000000001E-4</v>
      </c>
      <c r="L332" s="15">
        <v>-12.300941999999999</v>
      </c>
      <c r="M332" s="17">
        <f t="shared" si="85"/>
        <v>1.0615110000000012</v>
      </c>
      <c r="N332" s="15">
        <v>-13.362453</v>
      </c>
      <c r="O332" s="18">
        <v>0</v>
      </c>
      <c r="P332" s="18">
        <v>0</v>
      </c>
      <c r="Q332" s="19">
        <f t="shared" si="86"/>
        <v>0</v>
      </c>
      <c r="R332" s="18"/>
      <c r="S332" s="20">
        <v>5010</v>
      </c>
    </row>
    <row r="333" spans="1:19" ht="15.75" x14ac:dyDescent="0.25">
      <c r="A333" s="22">
        <v>1</v>
      </c>
      <c r="B333" s="22" t="s">
        <v>668</v>
      </c>
      <c r="C333" s="13" t="s">
        <v>669</v>
      </c>
      <c r="D333" s="14">
        <v>45473</v>
      </c>
      <c r="E333" s="15">
        <v>1244.1600000000001</v>
      </c>
      <c r="F333" s="16">
        <v>10</v>
      </c>
      <c r="G333" s="17">
        <f t="shared" ref="G333:G340" si="88">+E333/F333</f>
        <v>124.41600000000001</v>
      </c>
      <c r="H333" s="15">
        <v>55937.995999999999</v>
      </c>
      <c r="I333" s="15">
        <v>105279.11599999999</v>
      </c>
      <c r="J333" s="15">
        <v>526316.75600000005</v>
      </c>
      <c r="K333" s="15">
        <v>1618.81</v>
      </c>
      <c r="L333" s="15">
        <v>22713.014999999999</v>
      </c>
      <c r="M333" s="17">
        <f t="shared" ref="M333:M340" si="89">+L333-N333</f>
        <v>8891.3850000000002</v>
      </c>
      <c r="N333" s="15">
        <v>13821.63</v>
      </c>
      <c r="O333" s="18">
        <f>100+175</f>
        <v>275</v>
      </c>
      <c r="P333" s="18">
        <v>0</v>
      </c>
      <c r="Q333" s="19">
        <f t="shared" ref="Q333:Q340" si="90">SUM(O333:P333)</f>
        <v>275</v>
      </c>
      <c r="R333" s="18"/>
      <c r="S333" s="20">
        <v>4317</v>
      </c>
    </row>
    <row r="334" spans="1:19" ht="15.75" x14ac:dyDescent="0.25">
      <c r="A334" s="22">
        <f t="shared" ref="A334:A340" si="91">+A333+1</f>
        <v>2</v>
      </c>
      <c r="B334" s="22" t="s">
        <v>670</v>
      </c>
      <c r="C334" s="13" t="s">
        <v>671</v>
      </c>
      <c r="D334" s="14">
        <v>45473</v>
      </c>
      <c r="E334" s="15">
        <v>224.88800000000001</v>
      </c>
      <c r="F334" s="16">
        <v>10</v>
      </c>
      <c r="G334" s="17">
        <f t="shared" si="88"/>
        <v>22.488800000000001</v>
      </c>
      <c r="H334" s="15">
        <v>469.92399999999998</v>
      </c>
      <c r="I334" s="15">
        <v>1475.463</v>
      </c>
      <c r="J334" s="15">
        <v>2377.502</v>
      </c>
      <c r="K334" s="15">
        <v>69.823999999999998</v>
      </c>
      <c r="L334" s="15">
        <v>-76.337000000000003</v>
      </c>
      <c r="M334" s="17">
        <f t="shared" si="89"/>
        <v>-2.6599999999999966</v>
      </c>
      <c r="N334" s="15">
        <v>-73.677000000000007</v>
      </c>
      <c r="O334" s="18">
        <v>0</v>
      </c>
      <c r="P334" s="18">
        <v>0</v>
      </c>
      <c r="Q334" s="19">
        <f t="shared" si="90"/>
        <v>0</v>
      </c>
      <c r="R334" s="18"/>
      <c r="S334" s="20">
        <v>1144</v>
      </c>
    </row>
    <row r="335" spans="1:19" ht="15.75" x14ac:dyDescent="0.25">
      <c r="A335" s="22">
        <f t="shared" si="91"/>
        <v>3</v>
      </c>
      <c r="B335" s="22" t="s">
        <v>672</v>
      </c>
      <c r="C335" s="13" t="s">
        <v>673</v>
      </c>
      <c r="D335" s="14">
        <v>45473</v>
      </c>
      <c r="E335" s="15">
        <v>1392.048</v>
      </c>
      <c r="F335" s="16">
        <v>10</v>
      </c>
      <c r="G335" s="17">
        <f>+E335/F335</f>
        <v>139.20480000000001</v>
      </c>
      <c r="H335" s="15">
        <v>3938.3606810000001</v>
      </c>
      <c r="I335" s="15">
        <v>9010.4195569999993</v>
      </c>
      <c r="J335" s="15">
        <v>24016.482329999999</v>
      </c>
      <c r="K335" s="15">
        <v>544.04661999999996</v>
      </c>
      <c r="L335" s="15">
        <v>50.840417000000002</v>
      </c>
      <c r="M335" s="17">
        <f>+L335-N335</f>
        <v>39.436620000000005</v>
      </c>
      <c r="N335" s="15">
        <v>11.403797000000001</v>
      </c>
      <c r="O335" s="18">
        <v>0</v>
      </c>
      <c r="P335" s="18">
        <v>0</v>
      </c>
      <c r="Q335" s="19">
        <f>SUM(O335:P335)</f>
        <v>0</v>
      </c>
      <c r="R335" s="18"/>
      <c r="S335" s="20">
        <v>5403</v>
      </c>
    </row>
    <row r="336" spans="1:19" ht="15.75" x14ac:dyDescent="0.25">
      <c r="A336" s="22">
        <f t="shared" si="91"/>
        <v>4</v>
      </c>
      <c r="B336" s="22" t="s">
        <v>674</v>
      </c>
      <c r="C336" s="13" t="s">
        <v>675</v>
      </c>
      <c r="D336" s="14">
        <v>45473</v>
      </c>
      <c r="E336" s="15"/>
      <c r="F336" s="16">
        <v>10</v>
      </c>
      <c r="G336" s="17">
        <f>+E336/F336</f>
        <v>0</v>
      </c>
      <c r="H336" s="15"/>
      <c r="I336" s="15"/>
      <c r="J336" s="15"/>
      <c r="K336" s="15"/>
      <c r="L336" s="15"/>
      <c r="M336" s="17">
        <f>+L336-N336</f>
        <v>0</v>
      </c>
      <c r="N336" s="15"/>
      <c r="O336" s="18"/>
      <c r="P336" s="18"/>
      <c r="Q336" s="19">
        <f>SUM(O336:P336)</f>
        <v>0</v>
      </c>
      <c r="R336" s="18"/>
      <c r="S336" s="20"/>
    </row>
    <row r="337" spans="1:19" ht="15.75" x14ac:dyDescent="0.25">
      <c r="A337" s="22">
        <f t="shared" si="91"/>
        <v>5</v>
      </c>
      <c r="B337" s="22" t="s">
        <v>676</v>
      </c>
      <c r="C337" s="13" t="s">
        <v>677</v>
      </c>
      <c r="D337" s="14">
        <v>45473</v>
      </c>
      <c r="E337" s="15">
        <v>4694.7330000000002</v>
      </c>
      <c r="F337" s="16">
        <v>10</v>
      </c>
      <c r="G337" s="17">
        <f t="shared" si="88"/>
        <v>469.47329999999999</v>
      </c>
      <c r="H337" s="15">
        <v>231308.916</v>
      </c>
      <c r="I337" s="15">
        <v>974448.22600000002</v>
      </c>
      <c r="J337" s="15">
        <v>3571750.3059999999</v>
      </c>
      <c r="K337" s="15">
        <v>52337.942000000003</v>
      </c>
      <c r="L337" s="15">
        <v>29695.633000000002</v>
      </c>
      <c r="M337" s="17">
        <f t="shared" si="89"/>
        <v>13833.081000000002</v>
      </c>
      <c r="N337" s="15">
        <v>15862.552</v>
      </c>
      <c r="O337" s="18">
        <v>100</v>
      </c>
      <c r="P337" s="18">
        <v>0</v>
      </c>
      <c r="Q337" s="19">
        <f t="shared" si="90"/>
        <v>100</v>
      </c>
      <c r="R337" s="18"/>
      <c r="S337" s="20">
        <v>23871</v>
      </c>
    </row>
    <row r="338" spans="1:19" ht="15.75" x14ac:dyDescent="0.25">
      <c r="A338" s="22">
        <f t="shared" si="91"/>
        <v>6</v>
      </c>
      <c r="B338" s="22" t="s">
        <v>678</v>
      </c>
      <c r="C338" s="13" t="s">
        <v>679</v>
      </c>
      <c r="D338" s="14">
        <v>45657</v>
      </c>
      <c r="E338" s="15"/>
      <c r="F338" s="16">
        <v>10</v>
      </c>
      <c r="G338" s="17">
        <f t="shared" si="88"/>
        <v>0</v>
      </c>
      <c r="H338" s="15"/>
      <c r="I338" s="15"/>
      <c r="J338" s="15"/>
      <c r="K338" s="15"/>
      <c r="L338" s="15"/>
      <c r="M338" s="17">
        <f t="shared" si="89"/>
        <v>0</v>
      </c>
      <c r="N338" s="15"/>
      <c r="O338" s="18"/>
      <c r="P338" s="18"/>
      <c r="Q338" s="19">
        <f t="shared" si="90"/>
        <v>0</v>
      </c>
      <c r="R338" s="18"/>
      <c r="S338" s="20"/>
    </row>
    <row r="339" spans="1:19" ht="15.75" x14ac:dyDescent="0.25">
      <c r="A339" s="22">
        <f t="shared" si="91"/>
        <v>7</v>
      </c>
      <c r="B339" s="12" t="s">
        <v>680</v>
      </c>
      <c r="C339" s="13" t="s">
        <v>681</v>
      </c>
      <c r="D339" s="14">
        <v>45473</v>
      </c>
      <c r="E339" s="15"/>
      <c r="F339" s="16">
        <v>10</v>
      </c>
      <c r="G339" s="17">
        <f t="shared" si="88"/>
        <v>0</v>
      </c>
      <c r="H339" s="15"/>
      <c r="I339" s="15"/>
      <c r="J339" s="15"/>
      <c r="K339" s="15"/>
      <c r="L339" s="15"/>
      <c r="M339" s="17">
        <f t="shared" si="89"/>
        <v>0</v>
      </c>
      <c r="N339" s="15"/>
      <c r="O339" s="18"/>
      <c r="P339" s="18"/>
      <c r="Q339" s="19">
        <f t="shared" si="90"/>
        <v>0</v>
      </c>
      <c r="R339" s="18"/>
      <c r="S339" s="20"/>
    </row>
    <row r="340" spans="1:19" ht="15.75" x14ac:dyDescent="0.25">
      <c r="A340" s="22">
        <f t="shared" si="91"/>
        <v>8</v>
      </c>
      <c r="B340" s="22" t="s">
        <v>682</v>
      </c>
      <c r="C340" s="13" t="s">
        <v>683</v>
      </c>
      <c r="D340" s="14">
        <v>45473</v>
      </c>
      <c r="E340" s="15"/>
      <c r="F340" s="16">
        <v>10</v>
      </c>
      <c r="G340" s="17">
        <f t="shared" si="88"/>
        <v>0</v>
      </c>
      <c r="H340" s="15"/>
      <c r="I340" s="15"/>
      <c r="J340" s="15"/>
      <c r="K340" s="15"/>
      <c r="L340" s="15"/>
      <c r="M340" s="17">
        <f t="shared" si="89"/>
        <v>0</v>
      </c>
      <c r="N340" s="15"/>
      <c r="O340" s="18"/>
      <c r="P340" s="18"/>
      <c r="Q340" s="19">
        <f t="shared" si="90"/>
        <v>0</v>
      </c>
      <c r="R340" s="18"/>
      <c r="S340" s="20"/>
    </row>
    <row r="341" spans="1:19" s="30" customFormat="1" ht="15.75" x14ac:dyDescent="0.25">
      <c r="A341" s="32">
        <v>1</v>
      </c>
      <c r="B341" s="32" t="s">
        <v>684</v>
      </c>
      <c r="C341" s="21" t="s">
        <v>685</v>
      </c>
      <c r="D341" s="23">
        <v>45657</v>
      </c>
      <c r="E341" s="24"/>
      <c r="F341" s="25">
        <v>10</v>
      </c>
      <c r="G341" s="26">
        <f>+E341/F341</f>
        <v>0</v>
      </c>
      <c r="H341" s="24"/>
      <c r="I341" s="24"/>
      <c r="J341" s="24"/>
      <c r="K341" s="24"/>
      <c r="L341" s="24"/>
      <c r="M341" s="26">
        <f>+L341-N341</f>
        <v>0</v>
      </c>
      <c r="N341" s="24"/>
      <c r="O341" s="27"/>
      <c r="P341" s="27"/>
      <c r="Q341" s="28">
        <f>SUM(O341:P341)</f>
        <v>0</v>
      </c>
      <c r="R341" s="27"/>
      <c r="S341" s="29"/>
    </row>
    <row r="342" spans="1:19" ht="15.75" x14ac:dyDescent="0.25">
      <c r="A342" s="22">
        <v>1</v>
      </c>
      <c r="B342" s="22" t="s">
        <v>686</v>
      </c>
      <c r="C342" s="13" t="s">
        <v>687</v>
      </c>
      <c r="D342" s="14">
        <v>45473</v>
      </c>
      <c r="E342" s="15">
        <v>1334.0250000000001</v>
      </c>
      <c r="F342" s="16">
        <v>10</v>
      </c>
      <c r="G342" s="17">
        <f>+E342/F342</f>
        <v>133.4025</v>
      </c>
      <c r="H342" s="15">
        <v>224907.72</v>
      </c>
      <c r="I342" s="15">
        <v>346572.24300000002</v>
      </c>
      <c r="J342" s="15">
        <v>181828.62100000001</v>
      </c>
      <c r="K342" s="15">
        <v>2864.2330000000002</v>
      </c>
      <c r="L342" s="15">
        <v>110362.905</v>
      </c>
      <c r="M342" s="17">
        <f>+L342-N342</f>
        <v>33074.793999999994</v>
      </c>
      <c r="N342" s="15">
        <v>77288.111000000004</v>
      </c>
      <c r="O342" s="18">
        <f>980+1340</f>
        <v>2320</v>
      </c>
      <c r="P342" s="18">
        <v>800</v>
      </c>
      <c r="Q342" s="19">
        <f>SUM(O342:P342)</f>
        <v>3120</v>
      </c>
      <c r="R342" s="18"/>
      <c r="S342" s="20">
        <v>5066</v>
      </c>
    </row>
    <row r="343" spans="1:19" ht="15.75" x14ac:dyDescent="0.25">
      <c r="A343" s="22">
        <f>+A342+1</f>
        <v>2</v>
      </c>
      <c r="B343" s="22" t="s">
        <v>688</v>
      </c>
      <c r="C343" s="13" t="s">
        <v>689</v>
      </c>
      <c r="D343" s="14">
        <v>45473</v>
      </c>
      <c r="E343" s="15">
        <f>4300.9284*F343</f>
        <v>43009.284</v>
      </c>
      <c r="F343" s="16">
        <v>10</v>
      </c>
      <c r="G343" s="17">
        <f>+E343/F343</f>
        <v>4300.9283999999998</v>
      </c>
      <c r="H343" s="15">
        <v>1250496.2180000001</v>
      </c>
      <c r="I343" s="15">
        <v>1604254.14</v>
      </c>
      <c r="J343" s="15">
        <v>463697.86099999998</v>
      </c>
      <c r="K343" s="15">
        <v>7143.13</v>
      </c>
      <c r="L343" s="15">
        <v>293787.09399999998</v>
      </c>
      <c r="M343" s="17">
        <f>+L343-N343</f>
        <v>84811.322999999975</v>
      </c>
      <c r="N343" s="15">
        <v>208975.77100000001</v>
      </c>
      <c r="O343" s="18">
        <f>16+25+20+40</f>
        <v>101</v>
      </c>
      <c r="P343" s="18">
        <v>0</v>
      </c>
      <c r="Q343" s="19">
        <f>SUM(O343:P343)</f>
        <v>101</v>
      </c>
      <c r="R343" s="18"/>
      <c r="S343" s="20">
        <v>31665</v>
      </c>
    </row>
    <row r="344" spans="1:19" ht="15.75" x14ac:dyDescent="0.25">
      <c r="A344" s="22">
        <f>+A343+1</f>
        <v>3</v>
      </c>
      <c r="B344" s="22" t="s">
        <v>690</v>
      </c>
      <c r="C344" s="13" t="s">
        <v>691</v>
      </c>
      <c r="D344" s="14">
        <v>45473</v>
      </c>
      <c r="E344" s="15">
        <v>2838.5510399999998</v>
      </c>
      <c r="F344" s="16">
        <v>10</v>
      </c>
      <c r="G344" s="17">
        <f>+E344/F344</f>
        <v>283.85510399999998</v>
      </c>
      <c r="H344" s="15">
        <v>82851.974000000002</v>
      </c>
      <c r="I344" s="15">
        <v>175888.636</v>
      </c>
      <c r="J344" s="15">
        <v>65290.432000000001</v>
      </c>
      <c r="K344" s="15">
        <v>3346.8939999999998</v>
      </c>
      <c r="L344" s="15">
        <v>52909.608</v>
      </c>
      <c r="M344" s="17">
        <f>+L344-N344</f>
        <v>13758.097000000002</v>
      </c>
      <c r="N344" s="15">
        <v>39151.510999999999</v>
      </c>
      <c r="O344" s="18">
        <f>250+700</f>
        <v>950</v>
      </c>
      <c r="P344" s="18">
        <v>0</v>
      </c>
      <c r="Q344" s="19">
        <f>SUM(O344:P344)</f>
        <v>950</v>
      </c>
      <c r="R344" s="18"/>
      <c r="S344" s="20">
        <v>9124</v>
      </c>
    </row>
    <row r="345" spans="1:19" ht="15.75" x14ac:dyDescent="0.25">
      <c r="A345" s="22">
        <f>+A344+1</f>
        <v>4</v>
      </c>
      <c r="B345" s="22" t="s">
        <v>692</v>
      </c>
      <c r="C345" s="13" t="s">
        <v>693</v>
      </c>
      <c r="D345" s="14">
        <v>45473</v>
      </c>
      <c r="E345" s="15">
        <v>27209.835999999999</v>
      </c>
      <c r="F345" s="16">
        <v>10</v>
      </c>
      <c r="G345" s="17">
        <f>+E345/F345</f>
        <v>2720.9836</v>
      </c>
      <c r="H345" s="15">
        <v>639573.38399999996</v>
      </c>
      <c r="I345" s="15">
        <v>907447.87600000005</v>
      </c>
      <c r="J345" s="15">
        <v>288797.413</v>
      </c>
      <c r="K345" s="15">
        <v>1579.9469999999999</v>
      </c>
      <c r="L345" s="15">
        <v>159782.15</v>
      </c>
      <c r="M345" s="17">
        <f>+L345-N345</f>
        <v>45473.072999999989</v>
      </c>
      <c r="N345" s="15">
        <v>114309.077</v>
      </c>
      <c r="O345" s="18">
        <f>25+10+25</f>
        <v>60</v>
      </c>
      <c r="P345" s="18">
        <v>0</v>
      </c>
      <c r="Q345" s="19">
        <f>SUM(O345:P345)</f>
        <v>60</v>
      </c>
      <c r="R345" s="18"/>
      <c r="S345" s="20">
        <v>29064</v>
      </c>
    </row>
    <row r="346" spans="1:19" ht="15.75" x14ac:dyDescent="0.25">
      <c r="A346" s="12">
        <v>1</v>
      </c>
      <c r="B346" s="12" t="s">
        <v>694</v>
      </c>
      <c r="C346" s="13" t="s">
        <v>695</v>
      </c>
      <c r="D346" s="14">
        <v>45473</v>
      </c>
      <c r="E346" s="15">
        <v>6048.7905799999999</v>
      </c>
      <c r="F346" s="16">
        <v>10</v>
      </c>
      <c r="G346" s="17">
        <f t="shared" ref="G346:G357" si="92">+E346/F346</f>
        <v>604.87905799999999</v>
      </c>
      <c r="H346" s="15">
        <v>28138.240000000002</v>
      </c>
      <c r="I346" s="15">
        <v>59987.317000000003</v>
      </c>
      <c r="J346" s="15">
        <v>13691.815000000001</v>
      </c>
      <c r="K346" s="15">
        <v>4582.384</v>
      </c>
      <c r="L346" s="15">
        <v>-7794.9110000000001</v>
      </c>
      <c r="M346" s="17">
        <f t="shared" ref="M346:M357" si="93">+L346-N346</f>
        <v>-2706.3460000000005</v>
      </c>
      <c r="N346" s="15">
        <v>-5088.5649999999996</v>
      </c>
      <c r="O346" s="18">
        <v>0</v>
      </c>
      <c r="P346" s="18">
        <v>0</v>
      </c>
      <c r="Q346" s="19">
        <f t="shared" ref="Q346:Q357" si="94">SUM(O346:P346)</f>
        <v>0</v>
      </c>
      <c r="R346" s="18"/>
      <c r="S346" s="20">
        <v>6357</v>
      </c>
    </row>
    <row r="347" spans="1:19" ht="15.75" x14ac:dyDescent="0.25">
      <c r="A347" s="12">
        <f>+A346+1</f>
        <v>2</v>
      </c>
      <c r="B347" s="12" t="s">
        <v>696</v>
      </c>
      <c r="C347" s="13" t="s">
        <v>697</v>
      </c>
      <c r="D347" s="14">
        <v>45473</v>
      </c>
      <c r="E347" s="15">
        <v>9300.1589999999997</v>
      </c>
      <c r="F347" s="16">
        <v>10</v>
      </c>
      <c r="G347" s="17">
        <f t="shared" si="92"/>
        <v>930.01589999999999</v>
      </c>
      <c r="H347" s="15">
        <v>15706.977999999999</v>
      </c>
      <c r="I347" s="15">
        <v>40597.158000000003</v>
      </c>
      <c r="J347" s="15">
        <v>42749.652000000002</v>
      </c>
      <c r="K347" s="15">
        <v>3860.8249999999998</v>
      </c>
      <c r="L347" s="15">
        <v>-813.29200000000003</v>
      </c>
      <c r="M347" s="17">
        <f t="shared" si="93"/>
        <v>-680.822</v>
      </c>
      <c r="N347" s="15">
        <v>-132.47</v>
      </c>
      <c r="O347" s="18">
        <v>0</v>
      </c>
      <c r="P347" s="18">
        <v>0</v>
      </c>
      <c r="Q347" s="19">
        <f t="shared" si="94"/>
        <v>0</v>
      </c>
      <c r="R347" s="18"/>
      <c r="S347" s="20">
        <v>10998</v>
      </c>
    </row>
    <row r="348" spans="1:19" ht="15.75" x14ac:dyDescent="0.25">
      <c r="A348" s="12">
        <f>+A347+1</f>
        <v>3</v>
      </c>
      <c r="B348" s="12" t="s">
        <v>698</v>
      </c>
      <c r="C348" s="13" t="s">
        <v>699</v>
      </c>
      <c r="D348" s="14">
        <v>45473</v>
      </c>
      <c r="E348" s="15">
        <v>2970.11427</v>
      </c>
      <c r="F348" s="16">
        <v>10</v>
      </c>
      <c r="G348" s="17">
        <f t="shared" si="92"/>
        <v>297.01142700000003</v>
      </c>
      <c r="H348" s="15">
        <v>14226.001</v>
      </c>
      <c r="I348" s="15">
        <v>46839.906999999999</v>
      </c>
      <c r="J348" s="15">
        <v>38775.737000000001</v>
      </c>
      <c r="K348" s="15">
        <v>4772.4160000000002</v>
      </c>
      <c r="L348" s="15">
        <v>-5391.3959999999997</v>
      </c>
      <c r="M348" s="17">
        <f t="shared" si="93"/>
        <v>715.32700000000023</v>
      </c>
      <c r="N348" s="15">
        <v>-6106.723</v>
      </c>
      <c r="O348" s="18">
        <v>0</v>
      </c>
      <c r="P348" s="18">
        <v>0</v>
      </c>
      <c r="Q348" s="19">
        <f t="shared" si="94"/>
        <v>0</v>
      </c>
      <c r="R348" s="18"/>
      <c r="S348" s="20">
        <v>9012</v>
      </c>
    </row>
    <row r="349" spans="1:19" ht="15.75" x14ac:dyDescent="0.25">
      <c r="A349" s="12">
        <f t="shared" ref="A349:A357" si="95">+A348+1</f>
        <v>4</v>
      </c>
      <c r="B349" s="12" t="s">
        <v>700</v>
      </c>
      <c r="C349" s="13" t="s">
        <v>701</v>
      </c>
      <c r="D349" s="14">
        <v>45473</v>
      </c>
      <c r="E349" s="15">
        <v>114.72529</v>
      </c>
      <c r="F349" s="16">
        <v>10</v>
      </c>
      <c r="G349" s="17">
        <f t="shared" si="92"/>
        <v>11.472529</v>
      </c>
      <c r="H349" s="15">
        <v>335.54824500000001</v>
      </c>
      <c r="I349" s="15">
        <v>987.94446800000003</v>
      </c>
      <c r="J349" s="15">
        <v>3390.1750000000002</v>
      </c>
      <c r="K349" s="15">
        <v>65.605906000000004</v>
      </c>
      <c r="L349" s="15">
        <v>319.403257</v>
      </c>
      <c r="M349" s="17">
        <f t="shared" si="93"/>
        <v>200.73640999999998</v>
      </c>
      <c r="N349" s="15">
        <v>118.666847</v>
      </c>
      <c r="O349" s="18">
        <v>0</v>
      </c>
      <c r="P349" s="18">
        <v>0</v>
      </c>
      <c r="Q349" s="19">
        <f t="shared" si="94"/>
        <v>0</v>
      </c>
      <c r="R349" s="18"/>
      <c r="S349" s="20">
        <v>1166</v>
      </c>
    </row>
    <row r="350" spans="1:19" ht="15.75" x14ac:dyDescent="0.25">
      <c r="A350" s="12">
        <f t="shared" si="95"/>
        <v>5</v>
      </c>
      <c r="B350" s="12" t="s">
        <v>702</v>
      </c>
      <c r="C350" s="13" t="s">
        <v>703</v>
      </c>
      <c r="D350" s="14">
        <v>45473</v>
      </c>
      <c r="E350" s="15">
        <v>776.32491000000005</v>
      </c>
      <c r="F350" s="16">
        <v>10</v>
      </c>
      <c r="G350" s="17">
        <f t="shared" si="92"/>
        <v>77.632491000000002</v>
      </c>
      <c r="H350" s="15">
        <v>7716.049</v>
      </c>
      <c r="I350" s="15">
        <v>10498.151</v>
      </c>
      <c r="J350" s="15">
        <v>9111.6110000000008</v>
      </c>
      <c r="K350" s="15">
        <v>497.40300000000002</v>
      </c>
      <c r="L350" s="15">
        <v>2526.5749999999998</v>
      </c>
      <c r="M350" s="17">
        <f t="shared" si="93"/>
        <v>920.07199999999989</v>
      </c>
      <c r="N350" s="15">
        <v>1606.5029999999999</v>
      </c>
      <c r="O350" s="18">
        <f>20+35</f>
        <v>55</v>
      </c>
      <c r="P350" s="18">
        <v>0</v>
      </c>
      <c r="Q350" s="19">
        <f t="shared" si="94"/>
        <v>55</v>
      </c>
      <c r="R350" s="18"/>
      <c r="S350" s="20">
        <v>3225</v>
      </c>
    </row>
    <row r="351" spans="1:19" ht="15.75" x14ac:dyDescent="0.25">
      <c r="A351" s="12">
        <f t="shared" si="95"/>
        <v>6</v>
      </c>
      <c r="B351" s="12" t="s">
        <v>704</v>
      </c>
      <c r="C351" s="13" t="s">
        <v>705</v>
      </c>
      <c r="D351" s="14">
        <v>45473</v>
      </c>
      <c r="E351" s="15">
        <v>107.64</v>
      </c>
      <c r="F351" s="16">
        <v>10</v>
      </c>
      <c r="G351" s="17">
        <f t="shared" si="92"/>
        <v>10.763999999999999</v>
      </c>
      <c r="H351" s="15">
        <v>511.89</v>
      </c>
      <c r="I351" s="15">
        <v>2774.93</v>
      </c>
      <c r="J351" s="15">
        <v>1119.2639999999999</v>
      </c>
      <c r="K351" s="15">
        <v>167.55799999999999</v>
      </c>
      <c r="L351" s="15">
        <v>-314.12099999999998</v>
      </c>
      <c r="M351" s="17">
        <f t="shared" si="93"/>
        <v>36.282000000000039</v>
      </c>
      <c r="N351" s="15">
        <v>-350.40300000000002</v>
      </c>
      <c r="O351" s="18">
        <v>0</v>
      </c>
      <c r="P351" s="18">
        <v>0</v>
      </c>
      <c r="Q351" s="19">
        <f t="shared" si="94"/>
        <v>0</v>
      </c>
      <c r="R351" s="18"/>
      <c r="S351" s="20">
        <v>3643</v>
      </c>
    </row>
    <row r="352" spans="1:19" ht="15.75" x14ac:dyDescent="0.25">
      <c r="A352" s="12">
        <f t="shared" si="95"/>
        <v>7</v>
      </c>
      <c r="B352" s="12" t="s">
        <v>706</v>
      </c>
      <c r="C352" s="13" t="s">
        <v>707</v>
      </c>
      <c r="D352" s="14">
        <v>45473</v>
      </c>
      <c r="E352" s="15">
        <v>1318.8186000000001</v>
      </c>
      <c r="F352" s="16">
        <v>10</v>
      </c>
      <c r="G352" s="17">
        <f t="shared" si="92"/>
        <v>131.88186000000002</v>
      </c>
      <c r="H352" s="15">
        <v>18427.673999999999</v>
      </c>
      <c r="I352" s="15">
        <v>31637.653999999999</v>
      </c>
      <c r="J352" s="15">
        <v>29203.14</v>
      </c>
      <c r="K352" s="15">
        <v>1472.569</v>
      </c>
      <c r="L352" s="15">
        <v>1758.2570000000001</v>
      </c>
      <c r="M352" s="17">
        <f t="shared" si="93"/>
        <v>285.12599999999998</v>
      </c>
      <c r="N352" s="15">
        <v>1473.1310000000001</v>
      </c>
      <c r="O352" s="18">
        <f>20+35</f>
        <v>55</v>
      </c>
      <c r="P352" s="18">
        <v>0</v>
      </c>
      <c r="Q352" s="19">
        <f t="shared" si="94"/>
        <v>55</v>
      </c>
      <c r="R352" s="18"/>
      <c r="S352" s="20">
        <v>4177</v>
      </c>
    </row>
    <row r="353" spans="1:19" ht="15.75" x14ac:dyDescent="0.25">
      <c r="A353" s="12">
        <f t="shared" si="95"/>
        <v>8</v>
      </c>
      <c r="B353" s="12" t="s">
        <v>708</v>
      </c>
      <c r="C353" s="13" t="s">
        <v>709</v>
      </c>
      <c r="D353" s="14">
        <v>45473</v>
      </c>
      <c r="E353" s="15">
        <v>4350</v>
      </c>
      <c r="F353" s="16">
        <v>10</v>
      </c>
      <c r="G353" s="17">
        <f t="shared" si="92"/>
        <v>435</v>
      </c>
      <c r="H353" s="15">
        <v>23197.43</v>
      </c>
      <c r="I353" s="15">
        <v>44689.78</v>
      </c>
      <c r="J353" s="15">
        <v>69299.633000000002</v>
      </c>
      <c r="K353" s="15">
        <v>856.08799999999997</v>
      </c>
      <c r="L353" s="15">
        <v>4474.4319999999998</v>
      </c>
      <c r="M353" s="17">
        <f t="shared" si="93"/>
        <v>819.61799999999994</v>
      </c>
      <c r="N353" s="15">
        <v>3654.8139999999999</v>
      </c>
      <c r="O353" s="18">
        <f>25+30</f>
        <v>55</v>
      </c>
      <c r="P353" s="18">
        <v>0</v>
      </c>
      <c r="Q353" s="19">
        <f t="shared" si="94"/>
        <v>55</v>
      </c>
      <c r="R353" s="18"/>
      <c r="S353" s="20">
        <v>5623</v>
      </c>
    </row>
    <row r="354" spans="1:19" ht="15.75" x14ac:dyDescent="0.25">
      <c r="A354" s="12">
        <f t="shared" si="95"/>
        <v>9</v>
      </c>
      <c r="B354" s="12" t="s">
        <v>710</v>
      </c>
      <c r="C354" s="13" t="s">
        <v>711</v>
      </c>
      <c r="D354" s="14">
        <v>45473</v>
      </c>
      <c r="E354" s="15">
        <v>1443.43364</v>
      </c>
      <c r="F354" s="16">
        <v>10</v>
      </c>
      <c r="G354" s="17">
        <f t="shared" si="92"/>
        <v>144.34336400000001</v>
      </c>
      <c r="H354" s="15">
        <v>4149.7263759999996</v>
      </c>
      <c r="I354" s="15">
        <v>6222.6273570000003</v>
      </c>
      <c r="J354" s="15">
        <v>2271.6828639999999</v>
      </c>
      <c r="K354" s="15">
        <v>88.015394999999998</v>
      </c>
      <c r="L354" s="15">
        <v>-884.01097900000002</v>
      </c>
      <c r="M354" s="17">
        <f t="shared" si="93"/>
        <v>-62.322562000000062</v>
      </c>
      <c r="N354" s="15">
        <v>-821.68841699999996</v>
      </c>
      <c r="O354" s="18">
        <v>0</v>
      </c>
      <c r="P354" s="18">
        <v>0</v>
      </c>
      <c r="Q354" s="19">
        <f t="shared" si="94"/>
        <v>0</v>
      </c>
      <c r="R354" s="18"/>
      <c r="S354" s="20">
        <v>4974</v>
      </c>
    </row>
    <row r="355" spans="1:19" ht="15.75" x14ac:dyDescent="0.25">
      <c r="A355" s="12">
        <f t="shared" si="95"/>
        <v>10</v>
      </c>
      <c r="B355" s="12" t="s">
        <v>712</v>
      </c>
      <c r="C355" s="13" t="s">
        <v>713</v>
      </c>
      <c r="D355" s="14">
        <v>45657</v>
      </c>
      <c r="E355" s="15">
        <v>132</v>
      </c>
      <c r="F355" s="16">
        <v>10</v>
      </c>
      <c r="G355" s="17">
        <f t="shared" si="92"/>
        <v>13.2</v>
      </c>
      <c r="H355" s="15"/>
      <c r="I355" s="15"/>
      <c r="J355" s="15"/>
      <c r="K355" s="15"/>
      <c r="L355" s="15"/>
      <c r="M355" s="17">
        <f t="shared" si="93"/>
        <v>0</v>
      </c>
      <c r="N355" s="15"/>
      <c r="O355" s="18"/>
      <c r="P355" s="18"/>
      <c r="Q355" s="19">
        <f t="shared" si="94"/>
        <v>0</v>
      </c>
      <c r="R355" s="33">
        <v>134.0909</v>
      </c>
      <c r="S355" s="20"/>
    </row>
    <row r="356" spans="1:19" ht="15.75" x14ac:dyDescent="0.25">
      <c r="A356" s="12">
        <f t="shared" si="95"/>
        <v>11</v>
      </c>
      <c r="B356" s="12" t="s">
        <v>714</v>
      </c>
      <c r="C356" s="13" t="s">
        <v>715</v>
      </c>
      <c r="D356" s="14">
        <v>45473</v>
      </c>
      <c r="E356" s="15">
        <v>309.77600000000001</v>
      </c>
      <c r="F356" s="16">
        <v>10</v>
      </c>
      <c r="G356" s="17">
        <f t="shared" si="92"/>
        <v>30.977600000000002</v>
      </c>
      <c r="H356" s="15">
        <v>814.74599999999998</v>
      </c>
      <c r="I356" s="15">
        <v>890.06100000000004</v>
      </c>
      <c r="J356" s="15">
        <v>122.47499999999999</v>
      </c>
      <c r="K356" s="15">
        <v>0.192</v>
      </c>
      <c r="L356" s="15">
        <v>-25.285</v>
      </c>
      <c r="M356" s="17">
        <f t="shared" si="93"/>
        <v>-1.9430000000000014</v>
      </c>
      <c r="N356" s="15">
        <v>-23.341999999999999</v>
      </c>
      <c r="O356" s="18">
        <v>0</v>
      </c>
      <c r="P356" s="18">
        <v>0</v>
      </c>
      <c r="Q356" s="19">
        <f t="shared" si="94"/>
        <v>0</v>
      </c>
      <c r="R356" s="18"/>
      <c r="S356" s="20">
        <v>3609</v>
      </c>
    </row>
    <row r="357" spans="1:19" ht="15.75" x14ac:dyDescent="0.25">
      <c r="A357" s="12">
        <f t="shared" si="95"/>
        <v>12</v>
      </c>
      <c r="B357" s="12" t="s">
        <v>716</v>
      </c>
      <c r="C357" s="13" t="s">
        <v>717</v>
      </c>
      <c r="D357" s="14">
        <v>45473</v>
      </c>
      <c r="E357" s="15">
        <v>3356.3393299999998</v>
      </c>
      <c r="F357" s="16">
        <v>10</v>
      </c>
      <c r="G357" s="17">
        <f t="shared" si="92"/>
        <v>335.63393299999996</v>
      </c>
      <c r="H357" s="15">
        <v>26135.490610000001</v>
      </c>
      <c r="I357" s="15">
        <v>69077.171486000007</v>
      </c>
      <c r="J357" s="15">
        <v>92382.599828000006</v>
      </c>
      <c r="K357" s="15">
        <v>6364.0389789999999</v>
      </c>
      <c r="L357" s="15">
        <v>-89.861001000000002</v>
      </c>
      <c r="M357" s="17">
        <f t="shared" si="93"/>
        <v>-2089.7497120000003</v>
      </c>
      <c r="N357" s="15">
        <v>1999.8887110000001</v>
      </c>
      <c r="O357" s="18">
        <v>0</v>
      </c>
      <c r="P357" s="18">
        <v>0</v>
      </c>
      <c r="Q357" s="19">
        <f t="shared" si="94"/>
        <v>0</v>
      </c>
      <c r="R357" s="18"/>
      <c r="S357" s="20">
        <v>6014</v>
      </c>
    </row>
    <row r="358" spans="1:19" ht="15.75" x14ac:dyDescent="0.25">
      <c r="A358" s="12">
        <v>1</v>
      </c>
      <c r="B358" s="22" t="s">
        <v>718</v>
      </c>
      <c r="C358" s="13" t="s">
        <v>719</v>
      </c>
      <c r="D358" s="14">
        <v>45473</v>
      </c>
      <c r="E358" s="15">
        <v>1249.6251</v>
      </c>
      <c r="F358" s="16">
        <v>10</v>
      </c>
      <c r="G358" s="17">
        <f>+E358/F358</f>
        <v>124.96250999999999</v>
      </c>
      <c r="H358" s="15">
        <v>3085.0470949999999</v>
      </c>
      <c r="I358" s="15">
        <v>7168.5973389999999</v>
      </c>
      <c r="J358" s="15">
        <v>3098.0168760000001</v>
      </c>
      <c r="K358" s="15">
        <v>5.2229049999999999</v>
      </c>
      <c r="L358" s="15">
        <v>2.1912150000000001</v>
      </c>
      <c r="M358" s="17">
        <f>+L358-N358</f>
        <v>94.735108999999994</v>
      </c>
      <c r="N358" s="15">
        <v>-92.543893999999995</v>
      </c>
      <c r="O358" s="18">
        <v>0</v>
      </c>
      <c r="P358" s="18">
        <v>0</v>
      </c>
      <c r="Q358" s="19">
        <f>SUM(O358:P358)</f>
        <v>0</v>
      </c>
      <c r="R358" s="18"/>
      <c r="S358" s="20">
        <v>1241</v>
      </c>
    </row>
    <row r="359" spans="1:19" ht="15.75" x14ac:dyDescent="0.25">
      <c r="A359" s="12">
        <f>+A358+1</f>
        <v>2</v>
      </c>
      <c r="B359" s="12" t="s">
        <v>720</v>
      </c>
      <c r="C359" s="13" t="s">
        <v>721</v>
      </c>
      <c r="D359" s="14">
        <v>45473</v>
      </c>
      <c r="E359" s="15">
        <v>4446.9557699999996</v>
      </c>
      <c r="F359" s="16">
        <v>10</v>
      </c>
      <c r="G359" s="17">
        <f>+E359/F359</f>
        <v>444.69557699999996</v>
      </c>
      <c r="H359" s="15"/>
      <c r="I359" s="15"/>
      <c r="J359" s="15"/>
      <c r="K359" s="15"/>
      <c r="L359" s="15">
        <v>-245.23599999999999</v>
      </c>
      <c r="M359" s="17">
        <f>+L359-N359</f>
        <v>0</v>
      </c>
      <c r="N359" s="15">
        <v>-245.23599999999999</v>
      </c>
      <c r="O359" s="18">
        <v>0</v>
      </c>
      <c r="P359" s="18">
        <v>0</v>
      </c>
      <c r="Q359" s="19">
        <f>SUM(O359:P359)</f>
        <v>0</v>
      </c>
      <c r="R359" s="18"/>
      <c r="S359" s="20"/>
    </row>
    <row r="360" spans="1:19" ht="15.75" x14ac:dyDescent="0.25">
      <c r="A360" s="12">
        <f t="shared" ref="A360:A361" si="96">+A359+1</f>
        <v>3</v>
      </c>
      <c r="B360" s="12" t="s">
        <v>722</v>
      </c>
      <c r="C360" s="13" t="s">
        <v>723</v>
      </c>
      <c r="D360" s="14">
        <v>45473</v>
      </c>
      <c r="E360" s="15"/>
      <c r="F360" s="16">
        <v>10</v>
      </c>
      <c r="G360" s="17">
        <f>+E360/F360</f>
        <v>0</v>
      </c>
      <c r="H360" s="15"/>
      <c r="I360" s="15"/>
      <c r="J360" s="15"/>
      <c r="K360" s="15"/>
      <c r="L360" s="15"/>
      <c r="M360" s="17">
        <f>+L360-N360</f>
        <v>0</v>
      </c>
      <c r="N360" s="15"/>
      <c r="O360" s="18"/>
      <c r="P360" s="18"/>
      <c r="Q360" s="19">
        <f>SUM(O360:P360)</f>
        <v>0</v>
      </c>
      <c r="R360" s="18"/>
      <c r="S360" s="20"/>
    </row>
    <row r="361" spans="1:19" ht="15.75" x14ac:dyDescent="0.25">
      <c r="A361" s="12">
        <f t="shared" si="96"/>
        <v>4</v>
      </c>
      <c r="B361" s="12" t="s">
        <v>724</v>
      </c>
      <c r="C361" s="13" t="s">
        <v>725</v>
      </c>
      <c r="D361" s="14">
        <v>45473</v>
      </c>
      <c r="E361" s="15"/>
      <c r="F361" s="16">
        <v>10</v>
      </c>
      <c r="G361" s="17">
        <f>+E361/F361</f>
        <v>0</v>
      </c>
      <c r="H361" s="15"/>
      <c r="I361" s="15"/>
      <c r="J361" s="15"/>
      <c r="K361" s="15"/>
      <c r="L361" s="15"/>
      <c r="M361" s="17">
        <f>+L361-N361</f>
        <v>0</v>
      </c>
      <c r="N361" s="15"/>
      <c r="O361" s="18"/>
      <c r="P361" s="18"/>
      <c r="Q361" s="19">
        <f>SUM(O361:P361)</f>
        <v>0</v>
      </c>
      <c r="R361" s="18"/>
      <c r="S361" s="20"/>
    </row>
    <row r="362" spans="1:19" ht="15.75" x14ac:dyDescent="0.25">
      <c r="A362" s="12">
        <v>1</v>
      </c>
      <c r="B362" s="12" t="s">
        <v>726</v>
      </c>
      <c r="C362" s="13" t="s">
        <v>727</v>
      </c>
      <c r="D362" s="14">
        <v>45657</v>
      </c>
      <c r="E362" s="15"/>
      <c r="F362" s="16">
        <v>5</v>
      </c>
      <c r="G362" s="17">
        <f t="shared" ref="G362:G371" si="97">+E362/F362</f>
        <v>0</v>
      </c>
      <c r="H362" s="15"/>
      <c r="I362" s="15"/>
      <c r="J362" s="15"/>
      <c r="K362" s="15"/>
      <c r="L362" s="15"/>
      <c r="M362" s="17">
        <f t="shared" ref="M362:M371" si="98">+L362-N362</f>
        <v>0</v>
      </c>
      <c r="N362" s="15"/>
      <c r="O362" s="18"/>
      <c r="P362" s="18"/>
      <c r="Q362" s="19">
        <f t="shared" ref="Q362:Q371" si="99">SUM(O362:P362)</f>
        <v>0</v>
      </c>
      <c r="R362" s="18"/>
      <c r="S362" s="20"/>
    </row>
    <row r="363" spans="1:19" ht="15.75" x14ac:dyDescent="0.25">
      <c r="A363" s="12">
        <f>+A362+1</f>
        <v>2</v>
      </c>
      <c r="B363" s="12" t="s">
        <v>728</v>
      </c>
      <c r="C363" s="13" t="s">
        <v>729</v>
      </c>
      <c r="D363" s="14">
        <v>45382</v>
      </c>
      <c r="E363" s="15">
        <f>124.087935*F363</f>
        <v>1240.8793499999999</v>
      </c>
      <c r="F363" s="16">
        <v>10</v>
      </c>
      <c r="G363" s="17">
        <f t="shared" si="97"/>
        <v>124.08793499999999</v>
      </c>
      <c r="H363" s="15">
        <v>28767.569</v>
      </c>
      <c r="I363" s="15">
        <v>75943.752999999997</v>
      </c>
      <c r="J363" s="15">
        <v>159292.22899999999</v>
      </c>
      <c r="K363" s="15">
        <v>102.099</v>
      </c>
      <c r="L363" s="15">
        <v>15738.098</v>
      </c>
      <c r="M363" s="17">
        <f t="shared" si="98"/>
        <v>6030.0529999999999</v>
      </c>
      <c r="N363" s="15">
        <v>9708.0450000000001</v>
      </c>
      <c r="O363" s="18">
        <f>170+300</f>
        <v>470</v>
      </c>
      <c r="P363" s="18">
        <v>0</v>
      </c>
      <c r="Q363" s="19">
        <f t="shared" si="99"/>
        <v>470</v>
      </c>
      <c r="R363" s="18"/>
      <c r="S363" s="20">
        <v>1694</v>
      </c>
    </row>
    <row r="364" spans="1:19" ht="15.75" x14ac:dyDescent="0.25">
      <c r="A364" s="12">
        <f t="shared" ref="A364:A371" si="100">+A363+1</f>
        <v>3</v>
      </c>
      <c r="B364" s="12" t="s">
        <v>730</v>
      </c>
      <c r="C364" s="13" t="s">
        <v>731</v>
      </c>
      <c r="D364" s="14">
        <v>45473</v>
      </c>
      <c r="E364" s="15">
        <v>1387.3524199999999</v>
      </c>
      <c r="F364" s="16">
        <v>10</v>
      </c>
      <c r="G364" s="17">
        <f>+E364/F364</f>
        <v>138.735242</v>
      </c>
      <c r="H364" s="15"/>
      <c r="I364" s="15"/>
      <c r="J364" s="15"/>
      <c r="K364" s="15"/>
      <c r="L364" s="15">
        <v>-457.72300000000001</v>
      </c>
      <c r="M364" s="17">
        <f>+L364-N364</f>
        <v>0.1239999999999668</v>
      </c>
      <c r="N364" s="15">
        <v>-457.84699999999998</v>
      </c>
      <c r="O364" s="18">
        <v>0</v>
      </c>
      <c r="P364" s="18">
        <v>0</v>
      </c>
      <c r="Q364" s="19">
        <f>SUM(O364:P364)</f>
        <v>0</v>
      </c>
      <c r="R364" s="18"/>
      <c r="S364" s="20"/>
    </row>
    <row r="365" spans="1:19" ht="15.75" x14ac:dyDescent="0.25">
      <c r="A365" s="12">
        <f t="shared" si="100"/>
        <v>4</v>
      </c>
      <c r="B365" s="12" t="s">
        <v>732</v>
      </c>
      <c r="C365" s="13" t="s">
        <v>733</v>
      </c>
      <c r="D365" s="14">
        <v>45473</v>
      </c>
      <c r="E365" s="15">
        <v>426.08843999999999</v>
      </c>
      <c r="F365" s="16">
        <v>10</v>
      </c>
      <c r="G365" s="17">
        <f t="shared" si="97"/>
        <v>42.608843999999998</v>
      </c>
      <c r="H365" s="15">
        <v>8984.2520000000004</v>
      </c>
      <c r="I365" s="15">
        <v>18057.048999999999</v>
      </c>
      <c r="J365" s="15">
        <v>14666.195</v>
      </c>
      <c r="K365" s="15">
        <v>519.24199999999996</v>
      </c>
      <c r="L365" s="15">
        <v>1066.635</v>
      </c>
      <c r="M365" s="17">
        <f t="shared" si="98"/>
        <v>285.22299999999996</v>
      </c>
      <c r="N365" s="15">
        <v>781.41200000000003</v>
      </c>
      <c r="O365" s="18">
        <v>0</v>
      </c>
      <c r="P365" s="18">
        <v>0</v>
      </c>
      <c r="Q365" s="19">
        <f t="shared" si="99"/>
        <v>0</v>
      </c>
      <c r="R365" s="18"/>
      <c r="S365" s="20">
        <v>8166</v>
      </c>
    </row>
    <row r="366" spans="1:19" ht="15.75" x14ac:dyDescent="0.25">
      <c r="A366" s="12">
        <f t="shared" si="100"/>
        <v>5</v>
      </c>
      <c r="B366" s="12" t="s">
        <v>734</v>
      </c>
      <c r="C366" s="13" t="s">
        <v>735</v>
      </c>
      <c r="D366" s="14">
        <v>45473</v>
      </c>
      <c r="E366" s="15">
        <v>570.02499999999998</v>
      </c>
      <c r="F366" s="16">
        <v>10</v>
      </c>
      <c r="G366" s="17">
        <f t="shared" si="97"/>
        <v>57.002499999999998</v>
      </c>
      <c r="H366" s="15">
        <v>8099.1469999999999</v>
      </c>
      <c r="I366" s="15">
        <v>12368.861999999999</v>
      </c>
      <c r="J366" s="15">
        <v>5385.0659999999998</v>
      </c>
      <c r="K366" s="15">
        <v>349.36</v>
      </c>
      <c r="L366" s="15">
        <v>-322.03199999999998</v>
      </c>
      <c r="M366" s="17">
        <f t="shared" si="98"/>
        <v>-63.225999999999999</v>
      </c>
      <c r="N366" s="15">
        <v>-258.80599999999998</v>
      </c>
      <c r="O366" s="18">
        <v>0</v>
      </c>
      <c r="P366" s="18">
        <v>0</v>
      </c>
      <c r="Q366" s="19">
        <f t="shared" si="99"/>
        <v>0</v>
      </c>
      <c r="R366" s="18"/>
      <c r="S366" s="20">
        <v>6488</v>
      </c>
    </row>
    <row r="367" spans="1:19" ht="15.75" x14ac:dyDescent="0.25">
      <c r="A367" s="12">
        <f t="shared" si="100"/>
        <v>6</v>
      </c>
      <c r="B367" s="12" t="s">
        <v>736</v>
      </c>
      <c r="C367" s="13" t="s">
        <v>737</v>
      </c>
      <c r="D367" s="14">
        <v>45382</v>
      </c>
      <c r="E367" s="15">
        <v>1428</v>
      </c>
      <c r="F367" s="16">
        <v>10</v>
      </c>
      <c r="G367" s="17">
        <f t="shared" si="97"/>
        <v>142.80000000000001</v>
      </c>
      <c r="H367" s="15">
        <v>21655.018</v>
      </c>
      <c r="I367" s="15">
        <v>49830.264999999999</v>
      </c>
      <c r="J367" s="15">
        <v>55071.322999999997</v>
      </c>
      <c r="K367" s="15">
        <v>1218.9960000000001</v>
      </c>
      <c r="L367" s="15">
        <v>2752.7429999999999</v>
      </c>
      <c r="M367" s="17">
        <f t="shared" si="98"/>
        <v>418.84799999999996</v>
      </c>
      <c r="N367" s="15">
        <v>2333.895</v>
      </c>
      <c r="O367" s="18">
        <v>65</v>
      </c>
      <c r="P367" s="18">
        <v>0</v>
      </c>
      <c r="Q367" s="19">
        <f t="shared" si="99"/>
        <v>65</v>
      </c>
      <c r="R367" s="18"/>
      <c r="S367" s="20">
        <v>7871</v>
      </c>
    </row>
    <row r="368" spans="1:19" ht="15.75" x14ac:dyDescent="0.25">
      <c r="A368" s="12">
        <f t="shared" si="100"/>
        <v>7</v>
      </c>
      <c r="B368" s="12" t="s">
        <v>738</v>
      </c>
      <c r="C368" s="13" t="s">
        <v>739</v>
      </c>
      <c r="D368" s="14">
        <v>45382</v>
      </c>
      <c r="E368" s="15">
        <v>248.0112</v>
      </c>
      <c r="F368" s="16">
        <v>10</v>
      </c>
      <c r="G368" s="17">
        <f t="shared" si="97"/>
        <v>24.801120000000001</v>
      </c>
      <c r="H368" s="15">
        <v>5295.7049999999999</v>
      </c>
      <c r="I368" s="15">
        <v>9956.8230000000003</v>
      </c>
      <c r="J368" s="15">
        <v>7622.7089999999998</v>
      </c>
      <c r="K368" s="15">
        <v>239.31299999999999</v>
      </c>
      <c r="L368" s="15">
        <v>-36.405000000000001</v>
      </c>
      <c r="M368" s="17">
        <f t="shared" si="98"/>
        <v>94.693000000000012</v>
      </c>
      <c r="N368" s="15">
        <v>-131.09800000000001</v>
      </c>
      <c r="O368" s="18">
        <v>0</v>
      </c>
      <c r="P368" s="18">
        <v>0</v>
      </c>
      <c r="Q368" s="19">
        <f t="shared" si="99"/>
        <v>0</v>
      </c>
      <c r="R368" s="18"/>
      <c r="S368" s="20">
        <v>1659</v>
      </c>
    </row>
    <row r="369" spans="1:19" ht="15.75" x14ac:dyDescent="0.25">
      <c r="A369" s="12">
        <f t="shared" si="100"/>
        <v>8</v>
      </c>
      <c r="B369" s="12" t="s">
        <v>740</v>
      </c>
      <c r="C369" s="13" t="s">
        <v>741</v>
      </c>
      <c r="D369" s="14">
        <v>45473</v>
      </c>
      <c r="E369" s="15">
        <f>78.6*F369</f>
        <v>786</v>
      </c>
      <c r="F369" s="16">
        <v>10</v>
      </c>
      <c r="G369" s="17">
        <f t="shared" si="97"/>
        <v>78.599999999999994</v>
      </c>
      <c r="H369" s="15">
        <v>67226.442999999999</v>
      </c>
      <c r="I369" s="15">
        <v>145819.65100000001</v>
      </c>
      <c r="J369" s="15">
        <v>152481.02499999999</v>
      </c>
      <c r="K369" s="15">
        <v>170.291</v>
      </c>
      <c r="L369" s="15">
        <v>22712.87</v>
      </c>
      <c r="M369" s="17">
        <f t="shared" si="98"/>
        <v>7640.4439999999995</v>
      </c>
      <c r="N369" s="15">
        <v>15072.425999999999</v>
      </c>
      <c r="O369" s="18">
        <f>245+132+340+430</f>
        <v>1147</v>
      </c>
      <c r="P369" s="18">
        <v>0</v>
      </c>
      <c r="Q369" s="19">
        <f t="shared" si="99"/>
        <v>1147</v>
      </c>
      <c r="R369" s="18"/>
      <c r="S369" s="20">
        <v>4109</v>
      </c>
    </row>
    <row r="370" spans="1:19" ht="15.75" x14ac:dyDescent="0.25">
      <c r="A370" s="12">
        <f t="shared" si="100"/>
        <v>9</v>
      </c>
      <c r="B370" s="12" t="s">
        <v>742</v>
      </c>
      <c r="C370" s="13" t="s">
        <v>743</v>
      </c>
      <c r="D370" s="14">
        <v>45473</v>
      </c>
      <c r="E370" s="15">
        <v>1917.9822899999999</v>
      </c>
      <c r="F370" s="16">
        <v>10</v>
      </c>
      <c r="G370" s="17">
        <f t="shared" si="97"/>
        <v>191.79822899999999</v>
      </c>
      <c r="H370" s="15">
        <v>9762.0460000000003</v>
      </c>
      <c r="I370" s="15">
        <v>30360.004000000001</v>
      </c>
      <c r="J370" s="15">
        <v>91508.626000000004</v>
      </c>
      <c r="K370" s="15">
        <v>1068.164</v>
      </c>
      <c r="L370" s="15">
        <v>16250.369000000001</v>
      </c>
      <c r="M370" s="17">
        <f t="shared" si="98"/>
        <v>6333.764000000001</v>
      </c>
      <c r="N370" s="15">
        <v>9916.6049999999996</v>
      </c>
      <c r="O370" s="18">
        <f>250</f>
        <v>250</v>
      </c>
      <c r="P370" s="18">
        <v>0</v>
      </c>
      <c r="Q370" s="19">
        <f t="shared" si="99"/>
        <v>250</v>
      </c>
      <c r="R370" s="18"/>
      <c r="S370" s="20">
        <v>10003</v>
      </c>
    </row>
    <row r="371" spans="1:19" ht="15.75" x14ac:dyDescent="0.25">
      <c r="A371" s="12">
        <f t="shared" si="100"/>
        <v>10</v>
      </c>
      <c r="B371" s="12" t="s">
        <v>744</v>
      </c>
      <c r="C371" s="13" t="s">
        <v>745</v>
      </c>
      <c r="D371" s="14">
        <v>45473</v>
      </c>
      <c r="E371" s="15">
        <v>604.45964000000004</v>
      </c>
      <c r="F371" s="16">
        <v>10</v>
      </c>
      <c r="G371" s="17">
        <f t="shared" si="97"/>
        <v>60.445964000000004</v>
      </c>
      <c r="H371" s="15">
        <v>10104.086687000001</v>
      </c>
      <c r="I371" s="15">
        <v>29226.022904000001</v>
      </c>
      <c r="J371" s="15">
        <v>57642.468564000003</v>
      </c>
      <c r="K371" s="15">
        <v>168.91134299999999</v>
      </c>
      <c r="L371" s="15">
        <v>13115.344825</v>
      </c>
      <c r="M371" s="17">
        <f t="shared" si="98"/>
        <v>5179.6682490000003</v>
      </c>
      <c r="N371" s="15">
        <v>7935.6765759999998</v>
      </c>
      <c r="O371" s="18">
        <f>80+120</f>
        <v>200</v>
      </c>
      <c r="P371" s="18">
        <v>0</v>
      </c>
      <c r="Q371" s="19">
        <f t="shared" si="99"/>
        <v>200</v>
      </c>
      <c r="R371" s="18"/>
      <c r="S371" s="20">
        <v>5009</v>
      </c>
    </row>
    <row r="372" spans="1:19" ht="15.75" x14ac:dyDescent="0.25">
      <c r="A372" s="12">
        <v>1</v>
      </c>
      <c r="B372" s="12" t="s">
        <v>746</v>
      </c>
      <c r="C372" s="13" t="s">
        <v>747</v>
      </c>
      <c r="D372" s="14">
        <v>45473</v>
      </c>
      <c r="E372" s="15">
        <v>180</v>
      </c>
      <c r="F372" s="16">
        <v>5</v>
      </c>
      <c r="G372" s="17">
        <f t="shared" ref="G372:G380" si="101">+E372/F372</f>
        <v>36</v>
      </c>
      <c r="H372" s="15">
        <v>4201.2060000000001</v>
      </c>
      <c r="I372" s="15">
        <v>6380.9880000000003</v>
      </c>
      <c r="J372" s="15">
        <v>5927.2269999999999</v>
      </c>
      <c r="K372" s="15">
        <v>113.59</v>
      </c>
      <c r="L372" s="15">
        <v>-341.20800000000003</v>
      </c>
      <c r="M372" s="17">
        <f t="shared" ref="M372:M380" si="102">+L372-N372</f>
        <v>-65.490000000000009</v>
      </c>
      <c r="N372" s="15">
        <v>-275.71800000000002</v>
      </c>
      <c r="O372" s="18">
        <v>0</v>
      </c>
      <c r="P372" s="18">
        <v>0</v>
      </c>
      <c r="Q372" s="19">
        <f t="shared" ref="Q372:Q380" si="103">SUM(O372:P372)</f>
        <v>0</v>
      </c>
      <c r="R372" s="18"/>
      <c r="S372" s="20">
        <v>3335</v>
      </c>
    </row>
    <row r="373" spans="1:19" ht="15.75" x14ac:dyDescent="0.25">
      <c r="A373" s="12">
        <f t="shared" ref="A373:A380" si="104">+A372+1</f>
        <v>2</v>
      </c>
      <c r="B373" s="12" t="s">
        <v>748</v>
      </c>
      <c r="C373" s="13" t="s">
        <v>749</v>
      </c>
      <c r="D373" s="14">
        <v>45473</v>
      </c>
      <c r="E373" s="15">
        <v>350.17034000000001</v>
      </c>
      <c r="F373" s="16">
        <v>10</v>
      </c>
      <c r="G373" s="17">
        <f t="shared" si="101"/>
        <v>35.017034000000002</v>
      </c>
      <c r="H373" s="15">
        <v>8519.1669999999995</v>
      </c>
      <c r="I373" s="15">
        <v>23318.274000000001</v>
      </c>
      <c r="J373" s="15">
        <v>41470.591999999997</v>
      </c>
      <c r="K373" s="15">
        <v>1619.3510000000001</v>
      </c>
      <c r="L373" s="15">
        <v>2155.241</v>
      </c>
      <c r="M373" s="17">
        <f t="shared" si="102"/>
        <v>811.5920000000001</v>
      </c>
      <c r="N373" s="15">
        <v>1343.6489999999999</v>
      </c>
      <c r="O373" s="18">
        <v>200</v>
      </c>
      <c r="P373" s="18">
        <v>0</v>
      </c>
      <c r="Q373" s="19">
        <f t="shared" si="103"/>
        <v>200</v>
      </c>
      <c r="R373" s="18"/>
      <c r="S373" s="20">
        <v>2687</v>
      </c>
    </row>
    <row r="374" spans="1:19" ht="15.75" x14ac:dyDescent="0.25">
      <c r="A374" s="12">
        <f t="shared" si="104"/>
        <v>3</v>
      </c>
      <c r="B374" s="12" t="s">
        <v>750</v>
      </c>
      <c r="C374" s="13" t="s">
        <v>751</v>
      </c>
      <c r="D374" s="14">
        <v>45473</v>
      </c>
      <c r="E374" s="15">
        <f>13.33425*F374</f>
        <v>133.3425</v>
      </c>
      <c r="F374" s="16">
        <v>10</v>
      </c>
      <c r="G374" s="17">
        <f t="shared" si="101"/>
        <v>13.334250000000001</v>
      </c>
      <c r="H374" s="15">
        <v>2116.85</v>
      </c>
      <c r="I374" s="15">
        <v>2519.0210000000002</v>
      </c>
      <c r="J374" s="15">
        <v>2174.4810000000002</v>
      </c>
      <c r="K374" s="15">
        <v>5.5540000000000003</v>
      </c>
      <c r="L374" s="15">
        <v>350.09199999999998</v>
      </c>
      <c r="M374" s="17">
        <f t="shared" si="102"/>
        <v>109.42699999999999</v>
      </c>
      <c r="N374" s="15">
        <v>240.66499999999999</v>
      </c>
      <c r="O374" s="18">
        <f>20+50+30+30</f>
        <v>130</v>
      </c>
      <c r="P374" s="18">
        <v>0</v>
      </c>
      <c r="Q374" s="19">
        <f t="shared" si="103"/>
        <v>130</v>
      </c>
      <c r="R374" s="18"/>
      <c r="S374" s="20">
        <v>1369</v>
      </c>
    </row>
    <row r="375" spans="1:19" ht="15.75" x14ac:dyDescent="0.25">
      <c r="A375" s="12">
        <f t="shared" si="104"/>
        <v>4</v>
      </c>
      <c r="B375" s="12" t="s">
        <v>752</v>
      </c>
      <c r="C375" s="13" t="s">
        <v>753</v>
      </c>
      <c r="D375" s="14">
        <v>45382</v>
      </c>
      <c r="E375" s="15">
        <v>77.686179999999993</v>
      </c>
      <c r="F375" s="16">
        <v>10</v>
      </c>
      <c r="G375" s="17">
        <f t="shared" si="101"/>
        <v>7.7686179999999991</v>
      </c>
      <c r="H375" s="15">
        <v>6280.6530000000002</v>
      </c>
      <c r="I375" s="15">
        <v>14080.406000000001</v>
      </c>
      <c r="J375" s="15">
        <v>25667.601999999999</v>
      </c>
      <c r="K375" s="15">
        <v>858.11199999999997</v>
      </c>
      <c r="L375" s="15">
        <v>2154.6970000000001</v>
      </c>
      <c r="M375" s="17">
        <f t="shared" si="102"/>
        <v>900.07400000000007</v>
      </c>
      <c r="N375" s="15">
        <v>1254.623</v>
      </c>
      <c r="O375" s="18">
        <v>100</v>
      </c>
      <c r="P375" s="18">
        <v>0</v>
      </c>
      <c r="Q375" s="19">
        <f t="shared" si="103"/>
        <v>100</v>
      </c>
      <c r="R375" s="18"/>
      <c r="S375" s="20">
        <v>2043</v>
      </c>
    </row>
    <row r="376" spans="1:19" ht="15.75" x14ac:dyDescent="0.25">
      <c r="A376" s="12">
        <f t="shared" si="104"/>
        <v>5</v>
      </c>
      <c r="B376" s="12" t="s">
        <v>754</v>
      </c>
      <c r="C376" s="13" t="s">
        <v>755</v>
      </c>
      <c r="D376" s="14">
        <v>45473</v>
      </c>
      <c r="E376" s="15">
        <v>1219.3335</v>
      </c>
      <c r="F376" s="16">
        <v>10</v>
      </c>
      <c r="G376" s="17">
        <f t="shared" si="101"/>
        <v>121.93334999999999</v>
      </c>
      <c r="H376" s="15">
        <v>5995.3050000000003</v>
      </c>
      <c r="I376" s="15">
        <v>18848.105</v>
      </c>
      <c r="J376" s="15">
        <v>20538.57</v>
      </c>
      <c r="K376" s="15">
        <v>1680.26</v>
      </c>
      <c r="L376" s="15">
        <v>419.68299999999999</v>
      </c>
      <c r="M376" s="17">
        <f t="shared" si="102"/>
        <v>190.62299999999999</v>
      </c>
      <c r="N376" s="15">
        <v>229.06</v>
      </c>
      <c r="O376" s="18">
        <v>18.07</v>
      </c>
      <c r="P376" s="18">
        <v>0</v>
      </c>
      <c r="Q376" s="19">
        <f t="shared" si="103"/>
        <v>18.07</v>
      </c>
      <c r="R376" s="18"/>
      <c r="S376" s="20">
        <v>4972</v>
      </c>
    </row>
    <row r="377" spans="1:19" ht="15.75" x14ac:dyDescent="0.25">
      <c r="A377" s="12">
        <f t="shared" si="104"/>
        <v>6</v>
      </c>
      <c r="B377" s="12" t="s">
        <v>756</v>
      </c>
      <c r="C377" s="13" t="s">
        <v>757</v>
      </c>
      <c r="D377" s="14">
        <v>45473</v>
      </c>
      <c r="E377" s="15">
        <v>2512.5</v>
      </c>
      <c r="F377" s="16">
        <v>10</v>
      </c>
      <c r="G377" s="17">
        <f t="shared" si="101"/>
        <v>251.25</v>
      </c>
      <c r="H377" s="15">
        <v>3829.387138</v>
      </c>
      <c r="I377" s="15">
        <v>7223.9302420000004</v>
      </c>
      <c r="J377" s="15">
        <v>4490.3639759999996</v>
      </c>
      <c r="K377" s="15">
        <v>627.58022200000005</v>
      </c>
      <c r="L377" s="15">
        <v>256.70021700000001</v>
      </c>
      <c r="M377" s="17">
        <f t="shared" si="102"/>
        <v>-569.88584999999989</v>
      </c>
      <c r="N377" s="15">
        <v>826.58606699999996</v>
      </c>
      <c r="O377" s="18">
        <v>0</v>
      </c>
      <c r="P377" s="18">
        <v>0</v>
      </c>
      <c r="Q377" s="19">
        <f t="shared" ref="Q377" si="105">SUM(O377:P377)</f>
        <v>0</v>
      </c>
      <c r="R377" s="18"/>
      <c r="S377" s="20">
        <v>8182</v>
      </c>
    </row>
    <row r="378" spans="1:19" ht="15.75" x14ac:dyDescent="0.25">
      <c r="A378" s="12">
        <f t="shared" si="104"/>
        <v>7</v>
      </c>
      <c r="B378" s="12" t="s">
        <v>758</v>
      </c>
      <c r="C378" s="13" t="s">
        <v>759</v>
      </c>
      <c r="D378" s="14">
        <v>45473</v>
      </c>
      <c r="E378" s="15">
        <v>1680</v>
      </c>
      <c r="F378" s="16">
        <v>10</v>
      </c>
      <c r="G378" s="17">
        <f t="shared" si="101"/>
        <v>168</v>
      </c>
      <c r="H378" s="15">
        <v>7422.5368319999998</v>
      </c>
      <c r="I378" s="15">
        <v>23637.521252999999</v>
      </c>
      <c r="J378" s="15">
        <v>29523.186612000001</v>
      </c>
      <c r="K378" s="15">
        <v>1488.274635</v>
      </c>
      <c r="L378" s="15">
        <v>541.00537499999996</v>
      </c>
      <c r="M378" s="17">
        <f t="shared" si="102"/>
        <v>75.220242999999982</v>
      </c>
      <c r="N378" s="15">
        <v>465.78513199999998</v>
      </c>
      <c r="O378" s="18">
        <v>0</v>
      </c>
      <c r="P378" s="18">
        <v>0</v>
      </c>
      <c r="Q378" s="19">
        <f t="shared" ref="Q378" si="106">SUM(O378:P378)</f>
        <v>0</v>
      </c>
      <c r="R378" s="18"/>
      <c r="S378" s="20">
        <v>3735</v>
      </c>
    </row>
    <row r="379" spans="1:19" ht="15.75" x14ac:dyDescent="0.25">
      <c r="A379" s="12">
        <f t="shared" si="104"/>
        <v>8</v>
      </c>
      <c r="B379" s="12" t="s">
        <v>760</v>
      </c>
      <c r="C379" s="13" t="s">
        <v>761</v>
      </c>
      <c r="D379" s="14">
        <v>45473</v>
      </c>
      <c r="E379" s="15">
        <v>8822.7654299999995</v>
      </c>
      <c r="F379" s="16">
        <v>10</v>
      </c>
      <c r="G379" s="17">
        <f t="shared" si="101"/>
        <v>882.27654299999995</v>
      </c>
      <c r="H379" s="15">
        <v>2235.62</v>
      </c>
      <c r="I379" s="15">
        <v>12810.846</v>
      </c>
      <c r="J379" s="15">
        <v>8733.3220000000001</v>
      </c>
      <c r="K379" s="15">
        <v>1264.922</v>
      </c>
      <c r="L379" s="15">
        <v>-375.02699999999999</v>
      </c>
      <c r="M379" s="17">
        <f t="shared" si="102"/>
        <v>-89.032999999999959</v>
      </c>
      <c r="N379" s="15">
        <v>-285.99400000000003</v>
      </c>
      <c r="O379" s="18">
        <v>0</v>
      </c>
      <c r="P379" s="18">
        <v>0</v>
      </c>
      <c r="Q379" s="19">
        <f t="shared" ref="Q379" si="107">SUM(O379:P379)</f>
        <v>0</v>
      </c>
      <c r="R379" s="18"/>
      <c r="S379" s="20">
        <v>2178</v>
      </c>
    </row>
    <row r="380" spans="1:19" ht="15.75" x14ac:dyDescent="0.25">
      <c r="A380" s="12">
        <f t="shared" si="104"/>
        <v>9</v>
      </c>
      <c r="B380" s="12" t="s">
        <v>762</v>
      </c>
      <c r="C380" s="13" t="s">
        <v>763</v>
      </c>
      <c r="D380" s="14">
        <v>45473</v>
      </c>
      <c r="E380" s="15">
        <v>405.149585</v>
      </c>
      <c r="F380" s="16">
        <v>5</v>
      </c>
      <c r="G380" s="17">
        <f t="shared" si="101"/>
        <v>81.029916999999998</v>
      </c>
      <c r="H380" s="15">
        <v>31247.263999999999</v>
      </c>
      <c r="I380" s="15">
        <v>42755.035000000003</v>
      </c>
      <c r="J380" s="15">
        <v>26550.6</v>
      </c>
      <c r="K380" s="15">
        <v>729.41399999999999</v>
      </c>
      <c r="L380" s="15">
        <v>2619.4070000000002</v>
      </c>
      <c r="M380" s="17">
        <f t="shared" si="102"/>
        <v>428.97900000000027</v>
      </c>
      <c r="N380" s="15">
        <v>2190.4279999999999</v>
      </c>
      <c r="O380" s="18">
        <f>40+120</f>
        <v>160</v>
      </c>
      <c r="P380" s="18">
        <v>0</v>
      </c>
      <c r="Q380" s="19">
        <f t="shared" si="103"/>
        <v>160</v>
      </c>
      <c r="R380" s="18"/>
      <c r="S380" s="20">
        <v>4230</v>
      </c>
    </row>
    <row r="381" spans="1:19" ht="15.75" x14ac:dyDescent="0.25">
      <c r="A381" s="12">
        <v>1</v>
      </c>
      <c r="B381" s="12" t="s">
        <v>764</v>
      </c>
      <c r="C381" s="13" t="s">
        <v>765</v>
      </c>
      <c r="D381" s="14">
        <v>45473</v>
      </c>
      <c r="E381" s="15">
        <v>58</v>
      </c>
      <c r="F381" s="16">
        <v>10</v>
      </c>
      <c r="G381" s="17">
        <f>+E381/F381</f>
        <v>5.8</v>
      </c>
      <c r="H381" s="15">
        <v>96.975863000000004</v>
      </c>
      <c r="I381" s="15">
        <v>241.46922000000001</v>
      </c>
      <c r="J381" s="15">
        <v>0</v>
      </c>
      <c r="K381" s="15">
        <v>8.0003130000000002</v>
      </c>
      <c r="L381" s="15">
        <v>-27.232782</v>
      </c>
      <c r="M381" s="17">
        <f>+L381-N381</f>
        <v>0</v>
      </c>
      <c r="N381" s="15">
        <v>-27.232782</v>
      </c>
      <c r="O381" s="18">
        <v>0</v>
      </c>
      <c r="P381" s="18">
        <v>0</v>
      </c>
      <c r="Q381" s="19">
        <f>SUM(O381:P381)</f>
        <v>0</v>
      </c>
      <c r="R381" s="18"/>
      <c r="S381" s="20">
        <v>4258</v>
      </c>
    </row>
    <row r="382" spans="1:19" ht="15.75" x14ac:dyDescent="0.25">
      <c r="A382" s="12">
        <f>+A381+1</f>
        <v>2</v>
      </c>
      <c r="B382" s="12" t="s">
        <v>766</v>
      </c>
      <c r="C382" s="13" t="s">
        <v>767</v>
      </c>
      <c r="D382" s="14">
        <v>45473</v>
      </c>
      <c r="E382" s="15">
        <v>214</v>
      </c>
      <c r="F382" s="16">
        <v>10</v>
      </c>
      <c r="G382" s="17">
        <f>+E382/F382</f>
        <v>21.4</v>
      </c>
      <c r="H382" s="15">
        <v>-1524.61</v>
      </c>
      <c r="I382" s="15">
        <v>204.25</v>
      </c>
      <c r="J382" s="15">
        <v>0</v>
      </c>
      <c r="K382" s="15">
        <v>60.44</v>
      </c>
      <c r="L382" s="15">
        <v>-69.552000000000007</v>
      </c>
      <c r="M382" s="17">
        <f>+L382-N382</f>
        <v>-1.6400000000000006</v>
      </c>
      <c r="N382" s="15">
        <v>-67.912000000000006</v>
      </c>
      <c r="O382" s="18">
        <v>0</v>
      </c>
      <c r="P382" s="18">
        <v>0</v>
      </c>
      <c r="Q382" s="19">
        <f>SUM(O382:P382)</f>
        <v>0</v>
      </c>
      <c r="R382" s="18"/>
      <c r="S382" s="20">
        <v>1197</v>
      </c>
    </row>
    <row r="383" spans="1:19" ht="15.75" x14ac:dyDescent="0.25">
      <c r="A383" s="12">
        <v>1</v>
      </c>
      <c r="B383" s="12" t="s">
        <v>768</v>
      </c>
      <c r="C383" s="13" t="s">
        <v>769</v>
      </c>
      <c r="D383" s="14">
        <v>45473</v>
      </c>
      <c r="E383" s="15">
        <v>350</v>
      </c>
      <c r="F383" s="16">
        <v>10</v>
      </c>
      <c r="G383" s="17">
        <f t="shared" ref="G383:G388" si="108">+E383/F383</f>
        <v>35</v>
      </c>
      <c r="H383" s="15">
        <v>2946.1315650000001</v>
      </c>
      <c r="I383" s="15">
        <v>5768.9919559999998</v>
      </c>
      <c r="J383" s="15">
        <v>4192.4046209999997</v>
      </c>
      <c r="K383" s="15">
        <v>392.711005</v>
      </c>
      <c r="L383" s="15">
        <v>355.947517</v>
      </c>
      <c r="M383" s="17">
        <f t="shared" ref="M383:M388" si="109">+L383-N383</f>
        <v>136.94969600000002</v>
      </c>
      <c r="N383" s="15">
        <v>218.99782099999999</v>
      </c>
      <c r="O383" s="18">
        <v>0</v>
      </c>
      <c r="P383" s="18">
        <v>0</v>
      </c>
      <c r="Q383" s="19">
        <f t="shared" ref="Q383:Q388" si="110">SUM(O383:P383)</f>
        <v>0</v>
      </c>
      <c r="R383" s="18"/>
      <c r="S383" s="20">
        <v>749</v>
      </c>
    </row>
    <row r="384" spans="1:19" ht="15.75" x14ac:dyDescent="0.25">
      <c r="A384" s="12">
        <f>+A383+1</f>
        <v>2</v>
      </c>
      <c r="B384" s="12" t="s">
        <v>770</v>
      </c>
      <c r="C384" s="13" t="s">
        <v>771</v>
      </c>
      <c r="D384" s="14">
        <v>45473</v>
      </c>
      <c r="E384" s="15">
        <v>6288.54</v>
      </c>
      <c r="F384" s="16">
        <v>10</v>
      </c>
      <c r="G384" s="17">
        <f t="shared" si="108"/>
        <v>628.85400000000004</v>
      </c>
      <c r="H384" s="15">
        <v>14041.094999999999</v>
      </c>
      <c r="I384" s="15">
        <v>33421.561999999998</v>
      </c>
      <c r="J384" s="15">
        <v>36024.050999999999</v>
      </c>
      <c r="K384" s="15">
        <v>1364.7670000000001</v>
      </c>
      <c r="L384" s="15">
        <v>3115.5880000000002</v>
      </c>
      <c r="M384" s="17">
        <f t="shared" si="109"/>
        <v>1227.9960000000001</v>
      </c>
      <c r="N384" s="15">
        <v>1887.5920000000001</v>
      </c>
      <c r="O384" s="18">
        <v>12.5</v>
      </c>
      <c r="P384" s="18">
        <v>0</v>
      </c>
      <c r="Q384" s="19">
        <f t="shared" si="110"/>
        <v>12.5</v>
      </c>
      <c r="R384" s="18"/>
      <c r="S384" s="20">
        <v>4609</v>
      </c>
    </row>
    <row r="385" spans="1:19" ht="15.75" x14ac:dyDescent="0.25">
      <c r="A385" s="12">
        <f>+A384+1</f>
        <v>3</v>
      </c>
      <c r="B385" s="22" t="s">
        <v>772</v>
      </c>
      <c r="C385" s="13" t="s">
        <v>773</v>
      </c>
      <c r="D385" s="14">
        <v>45657</v>
      </c>
      <c r="E385" s="15"/>
      <c r="F385" s="16">
        <v>10</v>
      </c>
      <c r="G385" s="17">
        <f t="shared" si="108"/>
        <v>0</v>
      </c>
      <c r="H385" s="15"/>
      <c r="I385" s="15"/>
      <c r="J385" s="15"/>
      <c r="K385" s="15"/>
      <c r="L385" s="15"/>
      <c r="M385" s="17">
        <f t="shared" si="109"/>
        <v>0</v>
      </c>
      <c r="N385" s="15"/>
      <c r="O385" s="18"/>
      <c r="P385" s="18"/>
      <c r="Q385" s="19">
        <f t="shared" si="110"/>
        <v>0</v>
      </c>
      <c r="R385" s="18"/>
      <c r="S385" s="20"/>
    </row>
    <row r="386" spans="1:19" ht="15.75" x14ac:dyDescent="0.25">
      <c r="A386" s="12">
        <f t="shared" ref="A386:A389" si="111">+A385+1</f>
        <v>4</v>
      </c>
      <c r="B386" s="12" t="s">
        <v>774</v>
      </c>
      <c r="C386" s="13" t="s">
        <v>775</v>
      </c>
      <c r="D386" s="14">
        <v>45473</v>
      </c>
      <c r="E386" s="15">
        <v>495.06743999999998</v>
      </c>
      <c r="F386" s="16">
        <v>10</v>
      </c>
      <c r="G386" s="17">
        <f t="shared" si="108"/>
        <v>49.506743999999998</v>
      </c>
      <c r="H386" s="15">
        <v>9680.1010000000006</v>
      </c>
      <c r="I386" s="15">
        <v>31670.607</v>
      </c>
      <c r="J386" s="15">
        <v>26167.037</v>
      </c>
      <c r="K386" s="15">
        <v>1737.453</v>
      </c>
      <c r="L386" s="15">
        <v>291.03300000000002</v>
      </c>
      <c r="M386" s="17">
        <f t="shared" si="109"/>
        <v>82.175000000000011</v>
      </c>
      <c r="N386" s="15">
        <v>208.858</v>
      </c>
      <c r="O386" s="18">
        <v>0</v>
      </c>
      <c r="P386" s="18">
        <v>10</v>
      </c>
      <c r="Q386" s="19">
        <f t="shared" si="110"/>
        <v>10</v>
      </c>
      <c r="R386" s="18"/>
      <c r="S386" s="20">
        <v>2290</v>
      </c>
    </row>
    <row r="387" spans="1:19" ht="15.75" x14ac:dyDescent="0.25">
      <c r="A387" s="12">
        <f t="shared" si="111"/>
        <v>5</v>
      </c>
      <c r="B387" s="12" t="s">
        <v>776</v>
      </c>
      <c r="C387" s="13" t="s">
        <v>777</v>
      </c>
      <c r="D387" s="14">
        <v>45565</v>
      </c>
      <c r="E387" s="15"/>
      <c r="F387" s="16">
        <v>10</v>
      </c>
      <c r="G387" s="17">
        <f t="shared" si="108"/>
        <v>0</v>
      </c>
      <c r="H387" s="15"/>
      <c r="I387" s="15"/>
      <c r="J387" s="15"/>
      <c r="K387" s="15"/>
      <c r="L387" s="15"/>
      <c r="M387" s="17">
        <f t="shared" si="109"/>
        <v>0</v>
      </c>
      <c r="N387" s="15"/>
      <c r="O387" s="18"/>
      <c r="P387" s="18"/>
      <c r="Q387" s="19">
        <f t="shared" si="110"/>
        <v>0</v>
      </c>
      <c r="R387" s="18"/>
      <c r="S387" s="20"/>
    </row>
    <row r="388" spans="1:19" ht="15.75" x14ac:dyDescent="0.25">
      <c r="A388" s="12">
        <f t="shared" si="111"/>
        <v>6</v>
      </c>
      <c r="B388" s="22" t="s">
        <v>778</v>
      </c>
      <c r="C388" s="13" t="s">
        <v>779</v>
      </c>
      <c r="D388" s="14">
        <v>45657</v>
      </c>
      <c r="E388" s="15"/>
      <c r="F388" s="16">
        <v>10</v>
      </c>
      <c r="G388" s="17">
        <f t="shared" si="108"/>
        <v>0</v>
      </c>
      <c r="H388" s="15"/>
      <c r="I388" s="15"/>
      <c r="J388" s="15"/>
      <c r="K388" s="15"/>
      <c r="L388" s="15"/>
      <c r="M388" s="17">
        <f t="shared" si="109"/>
        <v>0</v>
      </c>
      <c r="N388" s="15"/>
      <c r="O388" s="18"/>
      <c r="P388" s="18"/>
      <c r="Q388" s="19">
        <f t="shared" si="110"/>
        <v>0</v>
      </c>
      <c r="R388" s="18"/>
      <c r="S388" s="20"/>
    </row>
    <row r="389" spans="1:19" ht="15.75" x14ac:dyDescent="0.25">
      <c r="A389" s="12">
        <f t="shared" si="111"/>
        <v>7</v>
      </c>
      <c r="B389" s="22" t="s">
        <v>780</v>
      </c>
      <c r="C389" s="21" t="s">
        <v>781</v>
      </c>
      <c r="D389" s="14">
        <v>45473</v>
      </c>
      <c r="E389" s="15"/>
      <c r="F389" s="16">
        <v>10</v>
      </c>
      <c r="G389" s="17">
        <f>+E389/F389</f>
        <v>0</v>
      </c>
      <c r="H389" s="15"/>
      <c r="I389" s="15"/>
      <c r="J389" s="15"/>
      <c r="K389" s="15"/>
      <c r="L389" s="15"/>
      <c r="M389" s="17">
        <f>+L389-N389</f>
        <v>0</v>
      </c>
      <c r="N389" s="15"/>
      <c r="O389" s="18"/>
      <c r="P389" s="18"/>
      <c r="Q389" s="19">
        <f>SUM(O389:P389)</f>
        <v>0</v>
      </c>
      <c r="R389" s="18"/>
      <c r="S389" s="20"/>
    </row>
    <row r="390" spans="1:19" ht="15.75" x14ac:dyDescent="0.25">
      <c r="A390" s="22">
        <v>1</v>
      </c>
      <c r="B390" s="22" t="s">
        <v>782</v>
      </c>
      <c r="C390" s="21" t="s">
        <v>783</v>
      </c>
      <c r="D390" s="14">
        <v>45473</v>
      </c>
      <c r="E390" s="24">
        <v>721.05200000000002</v>
      </c>
      <c r="F390" s="25">
        <v>10</v>
      </c>
      <c r="G390" s="26">
        <f t="shared" ref="G390:G394" si="112">+E390/F390</f>
        <v>72.105199999999996</v>
      </c>
      <c r="H390" s="24">
        <v>555.94109000000003</v>
      </c>
      <c r="I390" s="24">
        <v>683.007745</v>
      </c>
      <c r="J390" s="24">
        <v>45.934593999999997</v>
      </c>
      <c r="K390" s="24">
        <v>18.464858</v>
      </c>
      <c r="L390" s="24">
        <v>23.813292000000001</v>
      </c>
      <c r="M390" s="26">
        <f t="shared" ref="M390:M394" si="113">+L390-N390</f>
        <v>4.7084739999999989</v>
      </c>
      <c r="N390" s="24">
        <v>19.104818000000002</v>
      </c>
      <c r="O390" s="27">
        <v>0</v>
      </c>
      <c r="P390" s="27">
        <v>0</v>
      </c>
      <c r="Q390" s="28">
        <f t="shared" ref="Q390:Q394" si="114">SUM(O390:P390)</f>
        <v>0</v>
      </c>
      <c r="R390" s="27"/>
      <c r="S390" s="29">
        <v>1753</v>
      </c>
    </row>
    <row r="391" spans="1:19" ht="15.75" x14ac:dyDescent="0.25">
      <c r="A391" s="22">
        <f>+A390+1</f>
        <v>2</v>
      </c>
      <c r="B391" s="12" t="s">
        <v>784</v>
      </c>
      <c r="C391" s="13" t="s">
        <v>785</v>
      </c>
      <c r="D391" s="14">
        <v>45473</v>
      </c>
      <c r="E391" s="15">
        <v>17860.92772</v>
      </c>
      <c r="F391" s="16">
        <v>10</v>
      </c>
      <c r="G391" s="17">
        <f t="shared" si="112"/>
        <v>1786.092772</v>
      </c>
      <c r="H391" s="15">
        <v>17820.941999999999</v>
      </c>
      <c r="I391" s="15">
        <v>31463.817999999999</v>
      </c>
      <c r="J391" s="15">
        <v>13852.284</v>
      </c>
      <c r="K391" s="15">
        <v>1965.5650000000001</v>
      </c>
      <c r="L391" s="15">
        <v>2304.7959999999998</v>
      </c>
      <c r="M391" s="17">
        <f t="shared" si="113"/>
        <v>653.98699999999985</v>
      </c>
      <c r="N391" s="15">
        <v>1650.809</v>
      </c>
      <c r="O391" s="18">
        <v>0</v>
      </c>
      <c r="P391" s="18">
        <v>0</v>
      </c>
      <c r="Q391" s="19">
        <f t="shared" si="114"/>
        <v>0</v>
      </c>
      <c r="R391" s="18"/>
      <c r="S391" s="20">
        <v>18831</v>
      </c>
    </row>
    <row r="392" spans="1:19" ht="15.75" x14ac:dyDescent="0.25">
      <c r="A392" s="22">
        <f t="shared" ref="A392:A394" si="115">+A391+1</f>
        <v>3</v>
      </c>
      <c r="B392" s="12" t="s">
        <v>786</v>
      </c>
      <c r="C392" s="13" t="s">
        <v>787</v>
      </c>
      <c r="D392" s="14">
        <v>45657</v>
      </c>
      <c r="E392" s="15">
        <v>1091.53152</v>
      </c>
      <c r="F392" s="16">
        <v>10</v>
      </c>
      <c r="G392" s="17">
        <f t="shared" si="112"/>
        <v>109.15315200000001</v>
      </c>
      <c r="H392" s="15"/>
      <c r="I392" s="15"/>
      <c r="J392" s="15"/>
      <c r="K392" s="15"/>
      <c r="L392" s="15"/>
      <c r="M392" s="17">
        <f t="shared" si="113"/>
        <v>0</v>
      </c>
      <c r="N392" s="15"/>
      <c r="O392" s="18">
        <f>91</f>
        <v>91</v>
      </c>
      <c r="P392" s="18"/>
      <c r="Q392" s="19">
        <f t="shared" si="114"/>
        <v>91</v>
      </c>
      <c r="R392" s="18"/>
      <c r="S392" s="20"/>
    </row>
    <row r="393" spans="1:19" ht="15.75" x14ac:dyDescent="0.25">
      <c r="A393" s="22">
        <f t="shared" si="115"/>
        <v>4</v>
      </c>
      <c r="B393" s="12" t="s">
        <v>788</v>
      </c>
      <c r="C393" s="13" t="s">
        <v>789</v>
      </c>
      <c r="D393" s="14">
        <v>45473</v>
      </c>
      <c r="E393" s="15">
        <v>1320.6335999999999</v>
      </c>
      <c r="F393" s="16">
        <v>10</v>
      </c>
      <c r="G393" s="17">
        <f t="shared" si="112"/>
        <v>132.06335999999999</v>
      </c>
      <c r="H393" s="15">
        <v>17752.716</v>
      </c>
      <c r="I393" s="15">
        <v>105077.103</v>
      </c>
      <c r="J393" s="15">
        <v>9181.8340000000007</v>
      </c>
      <c r="K393" s="15">
        <v>1003.486</v>
      </c>
      <c r="L393" s="15">
        <v>6495.7830000000004</v>
      </c>
      <c r="M393" s="17">
        <f t="shared" si="113"/>
        <v>1511.3760000000002</v>
      </c>
      <c r="N393" s="15">
        <v>4984.4070000000002</v>
      </c>
      <c r="O393" s="18">
        <f>100+250</f>
        <v>350</v>
      </c>
      <c r="P393" s="18">
        <v>50</v>
      </c>
      <c r="Q393" s="19">
        <f t="shared" si="114"/>
        <v>400</v>
      </c>
      <c r="R393" s="18"/>
      <c r="S393" s="20">
        <v>15828</v>
      </c>
    </row>
    <row r="394" spans="1:19" ht="15.75" x14ac:dyDescent="0.25">
      <c r="A394" s="22">
        <f t="shared" si="115"/>
        <v>5</v>
      </c>
      <c r="B394" s="12" t="s">
        <v>790</v>
      </c>
      <c r="C394" s="13" t="s">
        <v>791</v>
      </c>
      <c r="D394" s="14">
        <v>45657</v>
      </c>
      <c r="E394" s="15"/>
      <c r="F394" s="16">
        <v>10</v>
      </c>
      <c r="G394" s="17">
        <f t="shared" si="112"/>
        <v>0</v>
      </c>
      <c r="H394" s="15"/>
      <c r="I394" s="15"/>
      <c r="J394" s="15"/>
      <c r="K394" s="15"/>
      <c r="L394" s="15"/>
      <c r="M394" s="17">
        <f t="shared" si="113"/>
        <v>0</v>
      </c>
      <c r="N394" s="15"/>
      <c r="O394" s="18"/>
      <c r="P394" s="18"/>
      <c r="Q394" s="19">
        <f t="shared" si="114"/>
        <v>0</v>
      </c>
      <c r="R394" s="18"/>
      <c r="S394" s="20"/>
    </row>
    <row r="395" spans="1:19" ht="15.75" x14ac:dyDescent="0.25">
      <c r="A395" s="12">
        <v>1</v>
      </c>
      <c r="B395" s="12" t="s">
        <v>792</v>
      </c>
      <c r="C395" s="13" t="s">
        <v>793</v>
      </c>
      <c r="D395" s="14">
        <v>45657</v>
      </c>
      <c r="E395" s="15"/>
      <c r="F395" s="16">
        <v>10</v>
      </c>
      <c r="G395" s="17">
        <f t="shared" ref="G395:G410" si="116">+E395/F395</f>
        <v>0</v>
      </c>
      <c r="H395" s="15"/>
      <c r="I395" s="15"/>
      <c r="J395" s="15"/>
      <c r="K395" s="15"/>
      <c r="L395" s="15"/>
      <c r="M395" s="17">
        <f t="shared" ref="M395:M410" si="117">+L395-N395</f>
        <v>0</v>
      </c>
      <c r="N395" s="15"/>
      <c r="O395" s="18"/>
      <c r="P395" s="18"/>
      <c r="Q395" s="19">
        <f t="shared" ref="Q395:Q410" si="118">SUM(O395:P395)</f>
        <v>0</v>
      </c>
      <c r="R395" s="18"/>
      <c r="S395" s="20"/>
    </row>
    <row r="396" spans="1:19" ht="15.75" x14ac:dyDescent="0.25">
      <c r="A396" s="12">
        <f>+A395+1</f>
        <v>2</v>
      </c>
      <c r="B396" s="12" t="s">
        <v>794</v>
      </c>
      <c r="C396" s="13" t="s">
        <v>795</v>
      </c>
      <c r="D396" s="14">
        <v>45473</v>
      </c>
      <c r="E396" s="15">
        <v>3952.6923099999999</v>
      </c>
      <c r="F396" s="16">
        <v>10</v>
      </c>
      <c r="G396" s="17">
        <f>+E396/F396</f>
        <v>395.26923099999999</v>
      </c>
      <c r="H396" s="15">
        <v>13555.794518999999</v>
      </c>
      <c r="I396" s="15">
        <v>24136.593491</v>
      </c>
      <c r="J396" s="15">
        <v>56282.418796999998</v>
      </c>
      <c r="K396" s="15">
        <v>1303.3856860000001</v>
      </c>
      <c r="L396" s="15">
        <v>3211.567618</v>
      </c>
      <c r="M396" s="17">
        <f>+L396-N396</f>
        <v>152.2257410000002</v>
      </c>
      <c r="N396" s="15">
        <v>3059.3418769999998</v>
      </c>
      <c r="O396" s="18">
        <f>20+40</f>
        <v>60</v>
      </c>
      <c r="P396" s="18">
        <v>0</v>
      </c>
      <c r="Q396" s="19">
        <f>SUM(O396:P396)</f>
        <v>60</v>
      </c>
      <c r="R396" s="18"/>
      <c r="S396" s="20">
        <v>5797</v>
      </c>
    </row>
    <row r="397" spans="1:19" ht="15.75" x14ac:dyDescent="0.25">
      <c r="A397" s="12">
        <f>+A396+1</f>
        <v>3</v>
      </c>
      <c r="B397" s="12" t="s">
        <v>796</v>
      </c>
      <c r="C397" s="13" t="s">
        <v>797</v>
      </c>
      <c r="D397" s="14">
        <v>45473</v>
      </c>
      <c r="E397" s="15">
        <v>5</v>
      </c>
      <c r="F397" s="16">
        <v>10</v>
      </c>
      <c r="G397" s="17">
        <f>+E397/F397</f>
        <v>0.5</v>
      </c>
      <c r="H397" s="15">
        <v>35.47</v>
      </c>
      <c r="I397" s="15">
        <v>946.322</v>
      </c>
      <c r="J397" s="15">
        <v>55.57</v>
      </c>
      <c r="K397" s="15">
        <v>3.0000000000000001E-3</v>
      </c>
      <c r="L397" s="15">
        <v>34.889000000000003</v>
      </c>
      <c r="M397" s="17">
        <f>+L397-N397</f>
        <v>4.0000000000006253E-2</v>
      </c>
      <c r="N397" s="15">
        <v>34.848999999999997</v>
      </c>
      <c r="O397" s="18">
        <v>0</v>
      </c>
      <c r="P397" s="18">
        <v>0</v>
      </c>
      <c r="Q397" s="19">
        <f>SUM(O397:P397)</f>
        <v>0</v>
      </c>
      <c r="R397" s="18"/>
      <c r="S397" s="20">
        <v>578</v>
      </c>
    </row>
    <row r="398" spans="1:19" ht="15.75" x14ac:dyDescent="0.25">
      <c r="A398" s="12">
        <f t="shared" ref="A398:A410" si="119">+A397+1</f>
        <v>4</v>
      </c>
      <c r="B398" s="12" t="s">
        <v>798</v>
      </c>
      <c r="C398" s="13" t="s">
        <v>799</v>
      </c>
      <c r="D398" s="14">
        <v>45473</v>
      </c>
      <c r="E398" s="15">
        <v>1134</v>
      </c>
      <c r="F398" s="16">
        <v>1</v>
      </c>
      <c r="G398" s="17">
        <f t="shared" si="116"/>
        <v>1134</v>
      </c>
      <c r="H398" s="15">
        <v>9856.4561369999992</v>
      </c>
      <c r="I398" s="15">
        <v>10996.532064999999</v>
      </c>
      <c r="J398" s="15">
        <v>8307.6661299999996</v>
      </c>
      <c r="K398" s="15">
        <v>35.641323</v>
      </c>
      <c r="L398" s="15">
        <v>2872.9676840000002</v>
      </c>
      <c r="M398" s="17">
        <f t="shared" si="117"/>
        <v>262.37592700000005</v>
      </c>
      <c r="N398" s="15">
        <v>2610.5917570000001</v>
      </c>
      <c r="O398" s="18">
        <v>0</v>
      </c>
      <c r="P398" s="18">
        <v>0</v>
      </c>
      <c r="Q398" s="19">
        <f t="shared" si="118"/>
        <v>0</v>
      </c>
      <c r="R398" s="18"/>
      <c r="S398" s="20">
        <v>4916</v>
      </c>
    </row>
    <row r="399" spans="1:19" ht="15.75" x14ac:dyDescent="0.25">
      <c r="A399" s="12">
        <f t="shared" si="119"/>
        <v>5</v>
      </c>
      <c r="B399" s="12" t="s">
        <v>800</v>
      </c>
      <c r="C399" s="13" t="s">
        <v>801</v>
      </c>
      <c r="D399" s="14">
        <v>45473</v>
      </c>
      <c r="E399" s="15">
        <v>1788.5101</v>
      </c>
      <c r="F399" s="16">
        <v>10</v>
      </c>
      <c r="G399" s="17">
        <f t="shared" si="116"/>
        <v>178.85101</v>
      </c>
      <c r="H399" s="15">
        <v>-1053.964931</v>
      </c>
      <c r="I399" s="15">
        <v>236.66753800000001</v>
      </c>
      <c r="J399" s="15">
        <v>67.244759000000002</v>
      </c>
      <c r="K399" s="15">
        <v>95.680239999999998</v>
      </c>
      <c r="L399" s="15">
        <v>-3.0738470000000002</v>
      </c>
      <c r="M399" s="17">
        <f t="shared" si="117"/>
        <v>0</v>
      </c>
      <c r="N399" s="15">
        <v>-3.0738470000000002</v>
      </c>
      <c r="O399" s="18">
        <v>0</v>
      </c>
      <c r="P399" s="18">
        <v>0</v>
      </c>
      <c r="Q399" s="19">
        <f t="shared" si="118"/>
        <v>0</v>
      </c>
      <c r="R399" s="18"/>
      <c r="S399" s="20">
        <v>2818</v>
      </c>
    </row>
    <row r="400" spans="1:19" ht="15.75" x14ac:dyDescent="0.25">
      <c r="A400" s="12">
        <f t="shared" si="119"/>
        <v>6</v>
      </c>
      <c r="B400" s="12" t="s">
        <v>802</v>
      </c>
      <c r="C400" s="13" t="s">
        <v>803</v>
      </c>
      <c r="D400" s="14">
        <v>45473</v>
      </c>
      <c r="E400" s="15">
        <v>898.36923000000002</v>
      </c>
      <c r="F400" s="16">
        <v>10</v>
      </c>
      <c r="G400" s="17">
        <f t="shared" si="116"/>
        <v>89.836922999999999</v>
      </c>
      <c r="H400" s="15">
        <v>10562.679</v>
      </c>
      <c r="I400" s="15">
        <v>14372.236000000001</v>
      </c>
      <c r="J400" s="15">
        <v>9280.6470000000008</v>
      </c>
      <c r="K400" s="15">
        <v>313.78300000000002</v>
      </c>
      <c r="L400" s="15">
        <v>1384.1590000000001</v>
      </c>
      <c r="M400" s="17">
        <f t="shared" si="117"/>
        <v>0</v>
      </c>
      <c r="N400" s="15">
        <v>1384.1590000000001</v>
      </c>
      <c r="O400" s="18">
        <v>30</v>
      </c>
      <c r="P400" s="18">
        <v>0</v>
      </c>
      <c r="Q400" s="19">
        <f t="shared" si="118"/>
        <v>30</v>
      </c>
      <c r="R400" s="18"/>
      <c r="S400" s="20">
        <v>6457</v>
      </c>
    </row>
    <row r="401" spans="1:19" ht="15.75" x14ac:dyDescent="0.25">
      <c r="A401" s="12">
        <f t="shared" si="119"/>
        <v>7</v>
      </c>
      <c r="B401" s="12" t="s">
        <v>804</v>
      </c>
      <c r="C401" s="13" t="s">
        <v>805</v>
      </c>
      <c r="D401" s="14">
        <v>45657</v>
      </c>
      <c r="E401" s="15"/>
      <c r="F401" s="16">
        <v>10</v>
      </c>
      <c r="G401" s="17">
        <f t="shared" si="116"/>
        <v>0</v>
      </c>
      <c r="H401" s="15"/>
      <c r="I401" s="15"/>
      <c r="J401" s="15"/>
      <c r="K401" s="15"/>
      <c r="L401" s="15"/>
      <c r="M401" s="17">
        <f t="shared" si="117"/>
        <v>0</v>
      </c>
      <c r="N401" s="15"/>
      <c r="O401" s="18"/>
      <c r="P401" s="18"/>
      <c r="Q401" s="19">
        <f t="shared" ref="Q401" si="120">SUM(O401:P401)</f>
        <v>0</v>
      </c>
      <c r="R401" s="18"/>
      <c r="S401" s="20"/>
    </row>
    <row r="402" spans="1:19" ht="15.75" x14ac:dyDescent="0.25">
      <c r="A402" s="12">
        <f t="shared" si="119"/>
        <v>8</v>
      </c>
      <c r="B402" s="22" t="s">
        <v>806</v>
      </c>
      <c r="C402" s="13" t="s">
        <v>807</v>
      </c>
      <c r="D402" s="14">
        <v>45473</v>
      </c>
      <c r="E402" s="15">
        <v>118.5921</v>
      </c>
      <c r="F402" s="16">
        <v>10</v>
      </c>
      <c r="G402" s="17">
        <f t="shared" si="116"/>
        <v>11.859210000000001</v>
      </c>
      <c r="H402" s="15">
        <v>1376.6444959999999</v>
      </c>
      <c r="I402" s="15">
        <v>1981.074738</v>
      </c>
      <c r="J402" s="15">
        <v>1685.3943200000001</v>
      </c>
      <c r="K402" s="15">
        <v>33.042051000000001</v>
      </c>
      <c r="L402" s="15">
        <v>264.44071700000001</v>
      </c>
      <c r="M402" s="17">
        <f t="shared" si="117"/>
        <v>72.217079000000012</v>
      </c>
      <c r="N402" s="15">
        <v>192.22363799999999</v>
      </c>
      <c r="O402" s="18">
        <v>35</v>
      </c>
      <c r="P402" s="18">
        <v>0</v>
      </c>
      <c r="Q402" s="19">
        <f t="shared" si="118"/>
        <v>35</v>
      </c>
      <c r="R402" s="18"/>
      <c r="S402" s="20">
        <v>2207</v>
      </c>
    </row>
    <row r="403" spans="1:19" ht="15.75" x14ac:dyDescent="0.25">
      <c r="A403" s="12">
        <f t="shared" si="119"/>
        <v>9</v>
      </c>
      <c r="B403" s="22" t="s">
        <v>808</v>
      </c>
      <c r="C403" s="13" t="s">
        <v>809</v>
      </c>
      <c r="D403" s="14">
        <v>45657</v>
      </c>
      <c r="E403" s="15"/>
      <c r="F403" s="16">
        <v>10</v>
      </c>
      <c r="G403" s="17">
        <f t="shared" si="116"/>
        <v>0</v>
      </c>
      <c r="H403" s="15"/>
      <c r="I403" s="15"/>
      <c r="J403" s="15"/>
      <c r="K403" s="15"/>
      <c r="L403" s="15"/>
      <c r="M403" s="17">
        <f t="shared" si="117"/>
        <v>0</v>
      </c>
      <c r="N403" s="15"/>
      <c r="O403" s="18"/>
      <c r="P403" s="18"/>
      <c r="Q403" s="19">
        <f t="shared" si="118"/>
        <v>0</v>
      </c>
      <c r="R403" s="18"/>
      <c r="S403" s="20"/>
    </row>
    <row r="404" spans="1:19" ht="15.75" x14ac:dyDescent="0.25">
      <c r="A404" s="12">
        <f t="shared" si="119"/>
        <v>10</v>
      </c>
      <c r="B404" s="22" t="s">
        <v>810</v>
      </c>
      <c r="C404" s="13" t="s">
        <v>811</v>
      </c>
      <c r="D404" s="14">
        <v>45473</v>
      </c>
      <c r="E404" s="15">
        <v>285.24552399999999</v>
      </c>
      <c r="F404" s="16">
        <v>1</v>
      </c>
      <c r="G404" s="17">
        <f t="shared" si="116"/>
        <v>285.24552399999999</v>
      </c>
      <c r="H404" s="15">
        <v>850.52354800000001</v>
      </c>
      <c r="I404" s="15">
        <v>1086.7892059999999</v>
      </c>
      <c r="J404" s="15">
        <v>412.93474600000002</v>
      </c>
      <c r="K404" s="15">
        <v>27.415199000000001</v>
      </c>
      <c r="L404" s="15">
        <v>141.30770000000001</v>
      </c>
      <c r="M404" s="17">
        <f t="shared" si="117"/>
        <v>10.753352000000007</v>
      </c>
      <c r="N404" s="15">
        <v>130.554348</v>
      </c>
      <c r="O404" s="18">
        <v>10</v>
      </c>
      <c r="P404" s="18">
        <v>0</v>
      </c>
      <c r="Q404" s="19">
        <f t="shared" ref="Q404" si="121">SUM(O404:P404)</f>
        <v>10</v>
      </c>
      <c r="R404" s="18"/>
      <c r="S404" s="20">
        <v>4171</v>
      </c>
    </row>
    <row r="405" spans="1:19" ht="15.75" x14ac:dyDescent="0.25">
      <c r="A405" s="12">
        <f t="shared" si="119"/>
        <v>11</v>
      </c>
      <c r="B405" s="22" t="s">
        <v>812</v>
      </c>
      <c r="C405" s="13" t="s">
        <v>813</v>
      </c>
      <c r="D405" s="14">
        <v>45657</v>
      </c>
      <c r="E405" s="15"/>
      <c r="F405" s="16">
        <v>10</v>
      </c>
      <c r="G405" s="17">
        <f t="shared" si="116"/>
        <v>0</v>
      </c>
      <c r="H405" s="15"/>
      <c r="I405" s="15"/>
      <c r="J405" s="15"/>
      <c r="K405" s="15"/>
      <c r="L405" s="15"/>
      <c r="M405" s="17">
        <f t="shared" si="117"/>
        <v>0</v>
      </c>
      <c r="N405" s="15"/>
      <c r="O405" s="18"/>
      <c r="P405" s="18"/>
      <c r="Q405" s="19">
        <f t="shared" si="118"/>
        <v>0</v>
      </c>
      <c r="R405" s="18"/>
      <c r="S405" s="20"/>
    </row>
    <row r="406" spans="1:19" ht="15.75" x14ac:dyDescent="0.25">
      <c r="A406" s="12">
        <f t="shared" si="119"/>
        <v>12</v>
      </c>
      <c r="B406" s="22" t="s">
        <v>814</v>
      </c>
      <c r="C406" s="13" t="s">
        <v>815</v>
      </c>
      <c r="D406" s="14">
        <v>45473</v>
      </c>
      <c r="E406" s="15">
        <v>1872.63093</v>
      </c>
      <c r="F406" s="16">
        <v>10</v>
      </c>
      <c r="G406" s="17">
        <f t="shared" si="116"/>
        <v>187.263093</v>
      </c>
      <c r="H406" s="15">
        <v>2507.2778589999998</v>
      </c>
      <c r="I406" s="15">
        <v>6267.2828589999999</v>
      </c>
      <c r="J406" s="15">
        <v>2542.596638</v>
      </c>
      <c r="K406" s="15">
        <v>515.04132800000002</v>
      </c>
      <c r="L406" s="15">
        <v>134.33597800000001</v>
      </c>
      <c r="M406" s="17">
        <f t="shared" si="117"/>
        <v>-0.68845199999998385</v>
      </c>
      <c r="N406" s="15">
        <v>135.02443</v>
      </c>
      <c r="O406" s="18">
        <v>0</v>
      </c>
      <c r="P406" s="18">
        <v>0</v>
      </c>
      <c r="Q406" s="19">
        <f t="shared" ref="Q406" si="122">SUM(O406:P406)</f>
        <v>0</v>
      </c>
      <c r="R406" s="18"/>
      <c r="S406" s="20">
        <v>1331</v>
      </c>
    </row>
    <row r="407" spans="1:19" ht="15.75" x14ac:dyDescent="0.25">
      <c r="A407" s="12">
        <f t="shared" si="119"/>
        <v>13</v>
      </c>
      <c r="B407" s="22" t="s">
        <v>816</v>
      </c>
      <c r="C407" s="13" t="s">
        <v>817</v>
      </c>
      <c r="D407" s="14">
        <v>45473</v>
      </c>
      <c r="E407" s="15">
        <v>3386.25</v>
      </c>
      <c r="F407" s="16">
        <v>10</v>
      </c>
      <c r="G407" s="17">
        <f t="shared" si="116"/>
        <v>338.625</v>
      </c>
      <c r="H407" s="15"/>
      <c r="I407" s="15"/>
      <c r="J407" s="15"/>
      <c r="K407" s="15"/>
      <c r="L407" s="15">
        <v>468.63299999999998</v>
      </c>
      <c r="M407" s="17">
        <f t="shared" si="117"/>
        <v>220.23099999999999</v>
      </c>
      <c r="N407" s="15">
        <v>248.40199999999999</v>
      </c>
      <c r="O407" s="18">
        <v>0</v>
      </c>
      <c r="P407" s="18">
        <v>0</v>
      </c>
      <c r="Q407" s="19">
        <f t="shared" si="118"/>
        <v>0</v>
      </c>
      <c r="R407" s="18"/>
      <c r="S407" s="20"/>
    </row>
    <row r="408" spans="1:19" ht="15.75" x14ac:dyDescent="0.25">
      <c r="A408" s="12">
        <f t="shared" si="119"/>
        <v>14</v>
      </c>
      <c r="B408" s="12" t="s">
        <v>818</v>
      </c>
      <c r="C408" s="13" t="s">
        <v>819</v>
      </c>
      <c r="D408" s="14">
        <v>45473</v>
      </c>
      <c r="E408" s="15">
        <v>2672.9776299999999</v>
      </c>
      <c r="F408" s="16">
        <v>10</v>
      </c>
      <c r="G408" s="17">
        <f>+E408/F408</f>
        <v>267.29776299999997</v>
      </c>
      <c r="H408" s="15"/>
      <c r="I408" s="15"/>
      <c r="J408" s="15"/>
      <c r="K408" s="15"/>
      <c r="L408" s="15">
        <v>-1350.4749999999999</v>
      </c>
      <c r="M408" s="17">
        <f>+L408-N408</f>
        <v>12048.388999999999</v>
      </c>
      <c r="N408" s="15">
        <v>-13398.864</v>
      </c>
      <c r="O408" s="18">
        <v>0</v>
      </c>
      <c r="P408" s="18">
        <v>0</v>
      </c>
      <c r="Q408" s="19">
        <f>SUM(O408:P408)</f>
        <v>0</v>
      </c>
      <c r="R408" s="18"/>
      <c r="S408" s="20"/>
    </row>
    <row r="409" spans="1:19" ht="15.75" x14ac:dyDescent="0.25">
      <c r="A409" s="12">
        <f t="shared" si="119"/>
        <v>15</v>
      </c>
      <c r="B409" s="12" t="s">
        <v>820</v>
      </c>
      <c r="C409" s="13" t="s">
        <v>821</v>
      </c>
      <c r="D409" s="14">
        <v>45473</v>
      </c>
      <c r="E409" s="15">
        <v>5453.9066499999999</v>
      </c>
      <c r="F409" s="16">
        <v>10</v>
      </c>
      <c r="G409" s="17">
        <f t="shared" si="116"/>
        <v>545.39066500000001</v>
      </c>
      <c r="H409" s="15">
        <v>33286.017</v>
      </c>
      <c r="I409" s="15">
        <v>40582.03</v>
      </c>
      <c r="J409" s="15">
        <v>2.5619999999999998</v>
      </c>
      <c r="K409" s="15">
        <v>0</v>
      </c>
      <c r="L409" s="15">
        <v>-36234.114999999998</v>
      </c>
      <c r="M409" s="17">
        <f t="shared" si="117"/>
        <v>-5386.0149999999994</v>
      </c>
      <c r="N409" s="15">
        <v>-30848.1</v>
      </c>
      <c r="O409" s="18">
        <v>0</v>
      </c>
      <c r="P409" s="18">
        <v>0</v>
      </c>
      <c r="Q409" s="19">
        <f t="shared" si="118"/>
        <v>0</v>
      </c>
      <c r="R409" s="18"/>
      <c r="S409" s="20">
        <v>12563</v>
      </c>
    </row>
    <row r="410" spans="1:19" ht="15.75" x14ac:dyDescent="0.25">
      <c r="A410" s="12">
        <f t="shared" si="119"/>
        <v>16</v>
      </c>
      <c r="B410" s="22" t="s">
        <v>822</v>
      </c>
      <c r="C410" s="13" t="s">
        <v>823</v>
      </c>
      <c r="D410" s="14">
        <v>45657</v>
      </c>
      <c r="E410" s="15"/>
      <c r="F410" s="16">
        <v>10</v>
      </c>
      <c r="G410" s="17">
        <f t="shared" si="116"/>
        <v>0</v>
      </c>
      <c r="H410" s="15"/>
      <c r="I410" s="15"/>
      <c r="J410" s="15"/>
      <c r="K410" s="15"/>
      <c r="L410" s="15"/>
      <c r="M410" s="17">
        <f t="shared" si="117"/>
        <v>0</v>
      </c>
      <c r="N410" s="15"/>
      <c r="O410" s="18"/>
      <c r="P410" s="18"/>
      <c r="Q410" s="19">
        <f t="shared" si="118"/>
        <v>0</v>
      </c>
      <c r="R410" s="18"/>
      <c r="S410" s="20"/>
    </row>
    <row r="411" spans="1:19" ht="15.75" x14ac:dyDescent="0.25">
      <c r="A411" s="22">
        <v>1</v>
      </c>
      <c r="B411" s="22" t="s">
        <v>824</v>
      </c>
      <c r="C411" s="13" t="s">
        <v>825</v>
      </c>
      <c r="D411" s="14">
        <v>45473</v>
      </c>
      <c r="E411" s="15">
        <v>4083.75</v>
      </c>
      <c r="F411" s="16">
        <v>10</v>
      </c>
      <c r="G411" s="17">
        <f t="shared" ref="G411:G416" si="123">+E411/F411</f>
        <v>408.375</v>
      </c>
      <c r="H411" s="15">
        <v>34069.438785999999</v>
      </c>
      <c r="I411" s="15">
        <v>38304.031598000001</v>
      </c>
      <c r="J411" s="15">
        <v>3795.8360779999998</v>
      </c>
      <c r="K411" s="15">
        <v>302.83479999999997</v>
      </c>
      <c r="L411" s="15">
        <v>10860.125867999999</v>
      </c>
      <c r="M411" s="17">
        <f t="shared" ref="M411:M416" si="124">+L411-N411</f>
        <v>1429.5283629999994</v>
      </c>
      <c r="N411" s="15">
        <v>9430.5975049999997</v>
      </c>
      <c r="O411" s="18">
        <v>70</v>
      </c>
      <c r="P411" s="18">
        <v>0</v>
      </c>
      <c r="Q411" s="19">
        <f t="shared" ref="Q411:Q416" si="125">SUM(O411:P411)</f>
        <v>70</v>
      </c>
      <c r="R411" s="18"/>
      <c r="S411" s="20">
        <v>2924</v>
      </c>
    </row>
    <row r="412" spans="1:19" ht="15.75" x14ac:dyDescent="0.25">
      <c r="A412" s="22">
        <f>+A411+1</f>
        <v>2</v>
      </c>
      <c r="B412" s="22" t="s">
        <v>826</v>
      </c>
      <c r="C412" s="13" t="s">
        <v>827</v>
      </c>
      <c r="D412" s="14">
        <v>45657</v>
      </c>
      <c r="E412" s="15">
        <v>13352.99375</v>
      </c>
      <c r="F412" s="16">
        <v>10</v>
      </c>
      <c r="G412" s="17">
        <f t="shared" si="123"/>
        <v>1335.2993750000001</v>
      </c>
      <c r="H412" s="15"/>
      <c r="I412" s="15"/>
      <c r="J412" s="15"/>
      <c r="K412" s="15"/>
      <c r="L412" s="15"/>
      <c r="M412" s="17">
        <f t="shared" si="124"/>
        <v>0</v>
      </c>
      <c r="N412" s="15"/>
      <c r="O412" s="18">
        <f>80+30+25</f>
        <v>135</v>
      </c>
      <c r="P412" s="18"/>
      <c r="Q412" s="19">
        <f t="shared" si="125"/>
        <v>135</v>
      </c>
      <c r="R412" s="18"/>
      <c r="S412" s="20"/>
    </row>
    <row r="413" spans="1:19" ht="15.75" x14ac:dyDescent="0.25">
      <c r="A413" s="22">
        <f t="shared" ref="A413:A416" si="126">+A412+1</f>
        <v>3</v>
      </c>
      <c r="B413" s="22" t="s">
        <v>828</v>
      </c>
      <c r="C413" s="13" t="s">
        <v>829</v>
      </c>
      <c r="D413" s="14">
        <v>45657</v>
      </c>
      <c r="E413" s="15">
        <v>5366.2646800000002</v>
      </c>
      <c r="F413" s="16">
        <v>10</v>
      </c>
      <c r="G413" s="17">
        <f t="shared" si="123"/>
        <v>536.62646800000005</v>
      </c>
      <c r="H413" s="15"/>
      <c r="I413" s="15"/>
      <c r="J413" s="15"/>
      <c r="K413" s="15"/>
      <c r="L413" s="15"/>
      <c r="M413" s="17">
        <f t="shared" si="124"/>
        <v>0</v>
      </c>
      <c r="N413" s="15"/>
      <c r="O413" s="18">
        <f>110+80+50</f>
        <v>240</v>
      </c>
      <c r="P413" s="18"/>
      <c r="Q413" s="19">
        <f t="shared" si="125"/>
        <v>240</v>
      </c>
      <c r="R413" s="18"/>
      <c r="S413" s="20"/>
    </row>
    <row r="414" spans="1:19" ht="15.75" x14ac:dyDescent="0.25">
      <c r="A414" s="22">
        <f t="shared" si="126"/>
        <v>4</v>
      </c>
      <c r="B414" s="22" t="s">
        <v>830</v>
      </c>
      <c r="C414" s="13" t="s">
        <v>831</v>
      </c>
      <c r="D414" s="14">
        <v>45657</v>
      </c>
      <c r="E414" s="15">
        <v>21000</v>
      </c>
      <c r="F414" s="16">
        <v>10</v>
      </c>
      <c r="G414" s="17">
        <f t="shared" si="123"/>
        <v>2100</v>
      </c>
      <c r="H414" s="15"/>
      <c r="I414" s="15"/>
      <c r="J414" s="15"/>
      <c r="K414" s="15"/>
      <c r="L414" s="15"/>
      <c r="M414" s="17">
        <f t="shared" si="124"/>
        <v>0</v>
      </c>
      <c r="N414" s="15"/>
      <c r="O414" s="18">
        <f>27.5</f>
        <v>27.5</v>
      </c>
      <c r="P414" s="18"/>
      <c r="Q414" s="19">
        <f t="shared" si="125"/>
        <v>27.5</v>
      </c>
      <c r="R414" s="18"/>
      <c r="S414" s="20"/>
    </row>
    <row r="415" spans="1:19" ht="15.75" x14ac:dyDescent="0.25">
      <c r="A415" s="22">
        <f t="shared" si="126"/>
        <v>5</v>
      </c>
      <c r="B415" s="22" t="s">
        <v>832</v>
      </c>
      <c r="C415" s="13" t="s">
        <v>833</v>
      </c>
      <c r="D415" s="14">
        <v>45657</v>
      </c>
      <c r="E415" s="15"/>
      <c r="F415" s="16">
        <v>10</v>
      </c>
      <c r="G415" s="17">
        <f t="shared" si="123"/>
        <v>0</v>
      </c>
      <c r="H415" s="15"/>
      <c r="I415" s="15"/>
      <c r="J415" s="15"/>
      <c r="K415" s="15"/>
      <c r="L415" s="15"/>
      <c r="M415" s="17">
        <f t="shared" si="124"/>
        <v>0</v>
      </c>
      <c r="N415" s="15"/>
      <c r="O415" s="18"/>
      <c r="P415" s="18"/>
      <c r="Q415" s="19">
        <f t="shared" si="125"/>
        <v>0</v>
      </c>
      <c r="R415" s="33"/>
      <c r="S415" s="20"/>
    </row>
    <row r="416" spans="1:19" ht="15.75" x14ac:dyDescent="0.25">
      <c r="A416" s="22">
        <f t="shared" si="126"/>
        <v>6</v>
      </c>
      <c r="B416" s="22" t="s">
        <v>834</v>
      </c>
      <c r="C416" s="13" t="s">
        <v>835</v>
      </c>
      <c r="D416" s="14">
        <v>45657</v>
      </c>
      <c r="E416" s="15">
        <v>12722.38147</v>
      </c>
      <c r="F416" s="16">
        <v>10</v>
      </c>
      <c r="G416" s="17">
        <f t="shared" si="123"/>
        <v>1272.238147</v>
      </c>
      <c r="H416" s="15"/>
      <c r="I416" s="15"/>
      <c r="J416" s="15"/>
      <c r="K416" s="15"/>
      <c r="L416" s="15"/>
      <c r="M416" s="17">
        <f t="shared" si="124"/>
        <v>0</v>
      </c>
      <c r="N416" s="15"/>
      <c r="O416" s="18">
        <f>55+100</f>
        <v>155</v>
      </c>
      <c r="P416" s="18"/>
      <c r="Q416" s="19">
        <f t="shared" si="125"/>
        <v>155</v>
      </c>
      <c r="R416" s="18"/>
      <c r="S416" s="20"/>
    </row>
    <row r="417" spans="1:19" ht="15.75" x14ac:dyDescent="0.25">
      <c r="A417" s="12">
        <v>1</v>
      </c>
      <c r="B417" s="12" t="s">
        <v>836</v>
      </c>
      <c r="C417" s="13" t="s">
        <v>837</v>
      </c>
      <c r="D417" s="14">
        <v>45657</v>
      </c>
      <c r="E417" s="15"/>
      <c r="F417" s="16">
        <v>10</v>
      </c>
      <c r="G417" s="17">
        <f t="shared" ref="G417:G429" si="127">+E417/F417</f>
        <v>0</v>
      </c>
      <c r="H417" s="15"/>
      <c r="I417" s="15"/>
      <c r="J417" s="15"/>
      <c r="K417" s="15"/>
      <c r="L417" s="15"/>
      <c r="M417" s="17">
        <f t="shared" ref="M417:M429" si="128">+L417-N417</f>
        <v>0</v>
      </c>
      <c r="N417" s="15"/>
      <c r="O417" s="18"/>
      <c r="P417" s="18"/>
      <c r="Q417" s="19">
        <f t="shared" ref="Q417:Q429" si="129">SUM(O417:P417)</f>
        <v>0</v>
      </c>
      <c r="R417" s="18"/>
      <c r="S417" s="20"/>
    </row>
    <row r="418" spans="1:19" ht="15.75" x14ac:dyDescent="0.25">
      <c r="A418" s="12">
        <f>+A417+1</f>
        <v>2</v>
      </c>
      <c r="B418" s="12" t="s">
        <v>838</v>
      </c>
      <c r="C418" s="13" t="s">
        <v>839</v>
      </c>
      <c r="D418" s="14">
        <v>45657</v>
      </c>
      <c r="E418" s="15"/>
      <c r="F418" s="16">
        <v>10</v>
      </c>
      <c r="G418" s="17">
        <f t="shared" si="127"/>
        <v>0</v>
      </c>
      <c r="H418" s="15"/>
      <c r="I418" s="15"/>
      <c r="J418" s="15"/>
      <c r="K418" s="15"/>
      <c r="L418" s="15"/>
      <c r="M418" s="17">
        <f t="shared" si="128"/>
        <v>0</v>
      </c>
      <c r="N418" s="15"/>
      <c r="O418" s="18"/>
      <c r="P418" s="18"/>
      <c r="Q418" s="19">
        <f t="shared" ref="Q418:Q419" si="130">SUM(O418:P418)</f>
        <v>0</v>
      </c>
      <c r="R418" s="18"/>
      <c r="S418" s="20"/>
    </row>
    <row r="419" spans="1:19" ht="15.75" x14ac:dyDescent="0.25">
      <c r="A419" s="12">
        <f t="shared" ref="A419:A429" si="131">+A418+1</f>
        <v>3</v>
      </c>
      <c r="B419" s="12" t="s">
        <v>840</v>
      </c>
      <c r="C419" s="13" t="s">
        <v>841</v>
      </c>
      <c r="D419" s="14">
        <v>45473</v>
      </c>
      <c r="E419" s="15">
        <v>190</v>
      </c>
      <c r="F419" s="16">
        <v>10</v>
      </c>
      <c r="G419" s="17">
        <f t="shared" si="127"/>
        <v>19</v>
      </c>
      <c r="H419" s="15">
        <v>2359.6186779999998</v>
      </c>
      <c r="I419" s="15">
        <v>5859.9649740000004</v>
      </c>
      <c r="J419" s="15">
        <v>3658.720487</v>
      </c>
      <c r="K419" s="15">
        <v>151.356821</v>
      </c>
      <c r="L419" s="15">
        <v>575.60564799999997</v>
      </c>
      <c r="M419" s="17">
        <f t="shared" si="128"/>
        <v>190.19246099999998</v>
      </c>
      <c r="N419" s="15">
        <v>385.41318699999999</v>
      </c>
      <c r="O419" s="18">
        <v>0</v>
      </c>
      <c r="P419" s="18">
        <v>0</v>
      </c>
      <c r="Q419" s="19">
        <f t="shared" si="130"/>
        <v>0</v>
      </c>
      <c r="R419" s="18"/>
      <c r="S419" s="20"/>
    </row>
    <row r="420" spans="1:19" ht="15.75" x14ac:dyDescent="0.25">
      <c r="A420" s="12">
        <f t="shared" si="131"/>
        <v>4</v>
      </c>
      <c r="B420" s="12" t="s">
        <v>842</v>
      </c>
      <c r="C420" s="13" t="s">
        <v>843</v>
      </c>
      <c r="D420" s="14">
        <v>45473</v>
      </c>
      <c r="E420" s="15">
        <v>2284.6120000000001</v>
      </c>
      <c r="F420" s="16">
        <v>10</v>
      </c>
      <c r="G420" s="17">
        <f t="shared" si="127"/>
        <v>228.46120000000002</v>
      </c>
      <c r="H420" s="15">
        <v>5633.1294420000004</v>
      </c>
      <c r="I420" s="15">
        <v>11402.428642000001</v>
      </c>
      <c r="J420" s="15">
        <v>12409.238742</v>
      </c>
      <c r="K420" s="15">
        <v>299.90638999999999</v>
      </c>
      <c r="L420" s="15">
        <v>1277.905518</v>
      </c>
      <c r="M420" s="17">
        <f t="shared" si="128"/>
        <v>444.44167100000004</v>
      </c>
      <c r="N420" s="15">
        <v>833.46384699999999</v>
      </c>
      <c r="O420" s="18">
        <v>32.5</v>
      </c>
      <c r="P420" s="18">
        <v>0</v>
      </c>
      <c r="Q420" s="19">
        <f t="shared" ref="Q420" si="132">SUM(O420:P420)</f>
        <v>32.5</v>
      </c>
      <c r="R420" s="18"/>
      <c r="S420" s="20">
        <v>8686</v>
      </c>
    </row>
    <row r="421" spans="1:19" ht="15.75" x14ac:dyDescent="0.25">
      <c r="A421" s="12">
        <f t="shared" si="131"/>
        <v>5</v>
      </c>
      <c r="B421" s="12" t="s">
        <v>844</v>
      </c>
      <c r="C421" s="13" t="s">
        <v>845</v>
      </c>
      <c r="D421" s="14">
        <v>45473</v>
      </c>
      <c r="E421" s="15">
        <v>434.69051999999999</v>
      </c>
      <c r="F421" s="16">
        <v>10</v>
      </c>
      <c r="G421" s="17">
        <f t="shared" si="127"/>
        <v>43.469051999999998</v>
      </c>
      <c r="H421" s="15">
        <v>8967.4733759999999</v>
      </c>
      <c r="I421" s="15">
        <v>15015.929824999999</v>
      </c>
      <c r="J421" s="15">
        <v>12711.714096</v>
      </c>
      <c r="K421" s="15">
        <v>527.32284100000004</v>
      </c>
      <c r="L421" s="15">
        <v>582.69230200000004</v>
      </c>
      <c r="M421" s="17">
        <f t="shared" si="128"/>
        <v>182.63802500000003</v>
      </c>
      <c r="N421" s="15">
        <v>400.05427700000001</v>
      </c>
      <c r="O421" s="18">
        <v>30</v>
      </c>
      <c r="P421" s="18">
        <v>0</v>
      </c>
      <c r="Q421" s="19">
        <f t="shared" si="129"/>
        <v>30</v>
      </c>
      <c r="R421" s="18"/>
      <c r="S421" s="20">
        <v>4196</v>
      </c>
    </row>
    <row r="422" spans="1:19" ht="15.75" x14ac:dyDescent="0.25">
      <c r="A422" s="12">
        <f t="shared" si="131"/>
        <v>6</v>
      </c>
      <c r="B422" s="12" t="s">
        <v>846</v>
      </c>
      <c r="C422" s="13" t="s">
        <v>847</v>
      </c>
      <c r="D422" s="14">
        <v>45657</v>
      </c>
      <c r="E422" s="15"/>
      <c r="F422" s="16">
        <v>10</v>
      </c>
      <c r="G422" s="17">
        <f t="shared" si="127"/>
        <v>0</v>
      </c>
      <c r="H422" s="15"/>
      <c r="I422" s="15"/>
      <c r="J422" s="15"/>
      <c r="K422" s="15"/>
      <c r="L422" s="15"/>
      <c r="M422" s="17">
        <f t="shared" si="128"/>
        <v>0</v>
      </c>
      <c r="N422" s="15"/>
      <c r="O422" s="18"/>
      <c r="P422" s="18"/>
      <c r="Q422" s="19">
        <f t="shared" si="129"/>
        <v>0</v>
      </c>
      <c r="R422" s="18"/>
      <c r="S422" s="20"/>
    </row>
    <row r="423" spans="1:19" ht="15.75" x14ac:dyDescent="0.25">
      <c r="A423" s="12">
        <f t="shared" si="131"/>
        <v>7</v>
      </c>
      <c r="B423" s="12" t="s">
        <v>848</v>
      </c>
      <c r="C423" s="13" t="s">
        <v>849</v>
      </c>
      <c r="D423" s="14">
        <v>45657</v>
      </c>
      <c r="E423" s="15">
        <v>1170.5450800000001</v>
      </c>
      <c r="F423" s="16">
        <v>10</v>
      </c>
      <c r="G423" s="17">
        <f t="shared" si="127"/>
        <v>117.05450800000001</v>
      </c>
      <c r="H423" s="15"/>
      <c r="I423" s="15"/>
      <c r="J423" s="15"/>
      <c r="K423" s="15"/>
      <c r="L423" s="15"/>
      <c r="M423" s="17">
        <f t="shared" si="128"/>
        <v>0</v>
      </c>
      <c r="N423" s="15"/>
      <c r="O423" s="18">
        <f>50</f>
        <v>50</v>
      </c>
      <c r="P423" s="18"/>
      <c r="Q423" s="19">
        <f t="shared" ref="Q423" si="133">SUM(O423:P423)</f>
        <v>50</v>
      </c>
      <c r="R423" s="18"/>
      <c r="S423" s="20"/>
    </row>
    <row r="424" spans="1:19" ht="15.75" x14ac:dyDescent="0.25">
      <c r="A424" s="12">
        <f t="shared" si="131"/>
        <v>8</v>
      </c>
      <c r="B424" s="12" t="s">
        <v>850</v>
      </c>
      <c r="C424" s="13" t="s">
        <v>851</v>
      </c>
      <c r="D424" s="14">
        <v>45657</v>
      </c>
      <c r="E424" s="15"/>
      <c r="F424" s="16">
        <v>10</v>
      </c>
      <c r="G424" s="17">
        <f t="shared" si="127"/>
        <v>0</v>
      </c>
      <c r="H424" s="15"/>
      <c r="I424" s="15"/>
      <c r="J424" s="15"/>
      <c r="K424" s="15"/>
      <c r="L424" s="15"/>
      <c r="M424" s="17">
        <f t="shared" si="128"/>
        <v>0</v>
      </c>
      <c r="N424" s="15"/>
      <c r="O424" s="18"/>
      <c r="P424" s="18"/>
      <c r="Q424" s="19">
        <f t="shared" si="129"/>
        <v>0</v>
      </c>
      <c r="R424" s="18"/>
      <c r="S424" s="20"/>
    </row>
    <row r="425" spans="1:19" ht="15.75" x14ac:dyDescent="0.25">
      <c r="A425" s="12">
        <f t="shared" si="131"/>
        <v>9</v>
      </c>
      <c r="B425" s="12" t="s">
        <v>852</v>
      </c>
      <c r="C425" s="13" t="s">
        <v>853</v>
      </c>
      <c r="D425" s="14">
        <v>45473</v>
      </c>
      <c r="E425" s="15">
        <v>856.74766999999997</v>
      </c>
      <c r="F425" s="16">
        <v>10</v>
      </c>
      <c r="G425" s="17">
        <f>+E425/F425</f>
        <v>85.674767000000003</v>
      </c>
      <c r="H425" s="15">
        <v>2114.6790000000001</v>
      </c>
      <c r="I425" s="15">
        <v>3326.7579999999998</v>
      </c>
      <c r="J425" s="15">
        <v>3603.3589999999999</v>
      </c>
      <c r="K425" s="15">
        <v>67.394000000000005</v>
      </c>
      <c r="L425" s="15">
        <v>28.922000000000001</v>
      </c>
      <c r="M425" s="17">
        <f>+L425-N425</f>
        <v>21.367000000000001</v>
      </c>
      <c r="N425" s="15">
        <v>7.5549999999999997</v>
      </c>
      <c r="O425" s="18">
        <v>0</v>
      </c>
      <c r="P425" s="18">
        <v>0</v>
      </c>
      <c r="Q425" s="19">
        <f>SUM(O425:P425)</f>
        <v>0</v>
      </c>
      <c r="R425" s="18"/>
      <c r="S425" s="20">
        <v>5263</v>
      </c>
    </row>
    <row r="426" spans="1:19" ht="15.75" x14ac:dyDescent="0.25">
      <c r="A426" s="12">
        <f t="shared" si="131"/>
        <v>10</v>
      </c>
      <c r="B426" s="12" t="s">
        <v>854</v>
      </c>
      <c r="C426" s="13" t="s">
        <v>855</v>
      </c>
      <c r="D426" s="14">
        <v>45473</v>
      </c>
      <c r="E426" s="15">
        <v>458.11099999999999</v>
      </c>
      <c r="F426" s="16">
        <v>10</v>
      </c>
      <c r="G426" s="17">
        <f>+E426/F426</f>
        <v>45.811099999999996</v>
      </c>
      <c r="H426" s="15">
        <v>3197.1089999999999</v>
      </c>
      <c r="I426" s="15">
        <v>5413.1109999999999</v>
      </c>
      <c r="J426" s="15">
        <v>7535.3819999999996</v>
      </c>
      <c r="K426" s="15">
        <v>100.57299999999999</v>
      </c>
      <c r="L426" s="15">
        <v>612.09900000000005</v>
      </c>
      <c r="M426" s="17">
        <f>+L426-N426</f>
        <v>184.93600000000004</v>
      </c>
      <c r="N426" s="15">
        <v>427.16300000000001</v>
      </c>
      <c r="O426" s="18">
        <f>12.5+10</f>
        <v>22.5</v>
      </c>
      <c r="P426" s="18">
        <v>0</v>
      </c>
      <c r="Q426" s="19">
        <f>SUM(O426:P426)</f>
        <v>22.5</v>
      </c>
      <c r="R426" s="18"/>
      <c r="S426" s="20">
        <v>1104</v>
      </c>
    </row>
    <row r="427" spans="1:19" ht="15.75" x14ac:dyDescent="0.25">
      <c r="A427" s="12">
        <f t="shared" si="131"/>
        <v>11</v>
      </c>
      <c r="B427" s="12" t="s">
        <v>856</v>
      </c>
      <c r="C427" s="13" t="s">
        <v>857</v>
      </c>
      <c r="D427" s="14">
        <v>45473</v>
      </c>
      <c r="E427" s="15">
        <v>121</v>
      </c>
      <c r="F427" s="16">
        <v>10</v>
      </c>
      <c r="G427" s="17">
        <f t="shared" si="127"/>
        <v>12.1</v>
      </c>
      <c r="H427" s="15">
        <v>675.69500000000005</v>
      </c>
      <c r="I427" s="15">
        <v>2293.8890000000001</v>
      </c>
      <c r="J427" s="15">
        <v>3163.8679999999999</v>
      </c>
      <c r="K427" s="15">
        <v>102.80800000000001</v>
      </c>
      <c r="L427" s="15">
        <v>18.321999999999999</v>
      </c>
      <c r="M427" s="17">
        <f t="shared" si="128"/>
        <v>23.085000000000001</v>
      </c>
      <c r="N427" s="15">
        <v>-4.7629999999999999</v>
      </c>
      <c r="O427" s="18">
        <v>0</v>
      </c>
      <c r="P427" s="18">
        <v>0</v>
      </c>
      <c r="Q427" s="19">
        <f t="shared" si="129"/>
        <v>0</v>
      </c>
      <c r="R427" s="18"/>
      <c r="S427" s="20">
        <v>1291</v>
      </c>
    </row>
    <row r="428" spans="1:19" ht="15.75" x14ac:dyDescent="0.25">
      <c r="A428" s="12">
        <f t="shared" si="131"/>
        <v>12</v>
      </c>
      <c r="B428" s="12" t="s">
        <v>858</v>
      </c>
      <c r="C428" s="13" t="s">
        <v>859</v>
      </c>
      <c r="D428" s="14">
        <v>45657</v>
      </c>
      <c r="E428" s="15">
        <v>96.447999999999993</v>
      </c>
      <c r="F428" s="16">
        <v>10</v>
      </c>
      <c r="G428" s="17">
        <f t="shared" si="127"/>
        <v>9.6448</v>
      </c>
      <c r="H428" s="15"/>
      <c r="I428" s="15"/>
      <c r="J428" s="15"/>
      <c r="K428" s="15"/>
      <c r="L428" s="15"/>
      <c r="M428" s="17">
        <f t="shared" si="128"/>
        <v>0</v>
      </c>
      <c r="N428" s="15"/>
      <c r="O428" s="18">
        <f>250</f>
        <v>250</v>
      </c>
      <c r="P428" s="18"/>
      <c r="Q428" s="19">
        <f t="shared" si="129"/>
        <v>250</v>
      </c>
      <c r="R428" s="18"/>
      <c r="S428" s="20"/>
    </row>
    <row r="429" spans="1:19" ht="15.75" x14ac:dyDescent="0.25">
      <c r="A429" s="12">
        <f t="shared" si="131"/>
        <v>13</v>
      </c>
      <c r="B429" s="12" t="s">
        <v>860</v>
      </c>
      <c r="C429" s="13" t="s">
        <v>861</v>
      </c>
      <c r="D429" s="14">
        <v>45473</v>
      </c>
      <c r="E429" s="15">
        <v>5114.9449999999997</v>
      </c>
      <c r="F429" s="16">
        <v>10</v>
      </c>
      <c r="G429" s="17">
        <f t="shared" si="127"/>
        <v>511.49449999999996</v>
      </c>
      <c r="H429" s="15">
        <v>29094.929</v>
      </c>
      <c r="I429" s="15">
        <v>50471.881999999998</v>
      </c>
      <c r="J429" s="15">
        <v>25827.21</v>
      </c>
      <c r="K429" s="15">
        <v>3560.8829999999998</v>
      </c>
      <c r="L429" s="15">
        <v>-4516.2529999999997</v>
      </c>
      <c r="M429" s="17">
        <f t="shared" si="128"/>
        <v>-1185.3939999999998</v>
      </c>
      <c r="N429" s="15">
        <v>-3330.8589999999999</v>
      </c>
      <c r="O429" s="18">
        <v>0</v>
      </c>
      <c r="P429" s="18">
        <v>0</v>
      </c>
      <c r="Q429" s="19">
        <f t="shared" si="129"/>
        <v>0</v>
      </c>
      <c r="R429" s="18"/>
      <c r="S429" s="20">
        <v>18334</v>
      </c>
    </row>
    <row r="430" spans="1:19" ht="15.75" x14ac:dyDescent="0.25">
      <c r="A430" s="22">
        <v>1</v>
      </c>
      <c r="B430" s="22" t="s">
        <v>862</v>
      </c>
      <c r="C430" s="13" t="s">
        <v>863</v>
      </c>
      <c r="D430" s="14">
        <v>45657</v>
      </c>
      <c r="E430" s="15"/>
      <c r="F430" s="16">
        <v>10</v>
      </c>
      <c r="G430" s="17">
        <f t="shared" ref="G430:G451" si="134">+E430/F430</f>
        <v>0</v>
      </c>
      <c r="H430" s="15"/>
      <c r="I430" s="15"/>
      <c r="J430" s="15"/>
      <c r="K430" s="15"/>
      <c r="L430" s="15"/>
      <c r="M430" s="17">
        <f t="shared" ref="M430:M451" si="135">+L430-N430</f>
        <v>0</v>
      </c>
      <c r="N430" s="15"/>
      <c r="O430" s="18"/>
      <c r="P430" s="18"/>
      <c r="Q430" s="19">
        <f t="shared" ref="Q430:Q451" si="136">SUM(O430:P430)</f>
        <v>0</v>
      </c>
      <c r="R430" s="18"/>
      <c r="S430" s="20"/>
    </row>
    <row r="431" spans="1:19" ht="15.75" x14ac:dyDescent="0.25">
      <c r="A431" s="22">
        <f>+A430+1</f>
        <v>2</v>
      </c>
      <c r="B431" s="22" t="s">
        <v>864</v>
      </c>
      <c r="C431" s="13" t="s">
        <v>865</v>
      </c>
      <c r="D431" s="14">
        <v>45565</v>
      </c>
      <c r="E431" s="15">
        <v>345.63341000000003</v>
      </c>
      <c r="F431" s="16">
        <v>10</v>
      </c>
      <c r="G431" s="17">
        <f t="shared" si="134"/>
        <v>34.563341000000001</v>
      </c>
      <c r="H431" s="15"/>
      <c r="I431" s="15"/>
      <c r="J431" s="15"/>
      <c r="K431" s="15"/>
      <c r="L431" s="15">
        <v>-811.44799999999998</v>
      </c>
      <c r="M431" s="17">
        <f t="shared" si="135"/>
        <v>-264.99599999999998</v>
      </c>
      <c r="N431" s="15">
        <v>-546.452</v>
      </c>
      <c r="O431" s="18">
        <v>0</v>
      </c>
      <c r="P431" s="18">
        <v>0</v>
      </c>
      <c r="Q431" s="19">
        <f t="shared" si="136"/>
        <v>0</v>
      </c>
      <c r="R431" s="18"/>
      <c r="S431" s="20"/>
    </row>
    <row r="432" spans="1:19" ht="15.75" x14ac:dyDescent="0.25">
      <c r="A432" s="22">
        <f t="shared" ref="A432:A451" si="137">+A431+1</f>
        <v>3</v>
      </c>
      <c r="B432" s="12" t="s">
        <v>866</v>
      </c>
      <c r="C432" s="13" t="s">
        <v>867</v>
      </c>
      <c r="D432" s="14">
        <v>45473</v>
      </c>
      <c r="E432" s="15">
        <v>245.51599999999999</v>
      </c>
      <c r="F432" s="16">
        <v>10</v>
      </c>
      <c r="G432" s="17">
        <f t="shared" si="134"/>
        <v>24.551600000000001</v>
      </c>
      <c r="H432" s="15">
        <v>3447.4650000000001</v>
      </c>
      <c r="I432" s="15">
        <v>7149.8909999999996</v>
      </c>
      <c r="J432" s="15">
        <v>8543.9069999999992</v>
      </c>
      <c r="K432" s="15">
        <v>304.596</v>
      </c>
      <c r="L432" s="15">
        <v>427.56700000000001</v>
      </c>
      <c r="M432" s="17">
        <f t="shared" si="135"/>
        <v>164.70400000000001</v>
      </c>
      <c r="N432" s="15">
        <v>262.863</v>
      </c>
      <c r="O432" s="18">
        <v>40</v>
      </c>
      <c r="P432" s="18">
        <v>0</v>
      </c>
      <c r="Q432" s="19">
        <f t="shared" si="136"/>
        <v>40</v>
      </c>
      <c r="R432" s="18"/>
      <c r="S432" s="20">
        <v>1857</v>
      </c>
    </row>
    <row r="433" spans="1:19" ht="15.75" x14ac:dyDescent="0.25">
      <c r="A433" s="22">
        <f t="shared" si="137"/>
        <v>4</v>
      </c>
      <c r="B433" s="22" t="s">
        <v>868</v>
      </c>
      <c r="C433" s="13" t="s">
        <v>869</v>
      </c>
      <c r="D433" s="14">
        <v>45473</v>
      </c>
      <c r="E433" s="15">
        <v>463.82688000000002</v>
      </c>
      <c r="F433" s="16">
        <v>10</v>
      </c>
      <c r="G433" s="17">
        <f t="shared" si="134"/>
        <v>46.382688000000002</v>
      </c>
      <c r="H433" s="15">
        <v>2936.1132710000002</v>
      </c>
      <c r="I433" s="15">
        <f>2248.593668+1352.677162</f>
        <v>3601.2708299999999</v>
      </c>
      <c r="J433" s="15">
        <v>2405.0815950000001</v>
      </c>
      <c r="K433" s="15">
        <v>109.359582</v>
      </c>
      <c r="L433" s="15">
        <v>330.10207200000002</v>
      </c>
      <c r="M433" s="17">
        <f t="shared" si="135"/>
        <v>35.074607000000015</v>
      </c>
      <c r="N433" s="15">
        <v>295.02746500000001</v>
      </c>
      <c r="O433" s="18">
        <f>23+23</f>
        <v>46</v>
      </c>
      <c r="P433" s="18">
        <v>0</v>
      </c>
      <c r="Q433" s="19">
        <f t="shared" si="136"/>
        <v>46</v>
      </c>
      <c r="R433" s="18"/>
      <c r="S433" s="20">
        <v>1704</v>
      </c>
    </row>
    <row r="434" spans="1:19" ht="15.75" x14ac:dyDescent="0.25">
      <c r="A434" s="22">
        <f t="shared" si="137"/>
        <v>5</v>
      </c>
      <c r="B434" s="12" t="s">
        <v>870</v>
      </c>
      <c r="C434" s="13" t="s">
        <v>871</v>
      </c>
      <c r="D434" s="14">
        <v>45473</v>
      </c>
      <c r="E434" s="15">
        <v>14.4</v>
      </c>
      <c r="F434" s="16">
        <v>10</v>
      </c>
      <c r="G434" s="17">
        <f t="shared" si="134"/>
        <v>1.44</v>
      </c>
      <c r="H434" s="15">
        <v>187.38499999999999</v>
      </c>
      <c r="I434" s="15">
        <v>556.88499999999999</v>
      </c>
      <c r="J434" s="15">
        <v>622.98500000000001</v>
      </c>
      <c r="K434" s="15">
        <v>10.792999999999999</v>
      </c>
      <c r="L434" s="15">
        <v>12.23</v>
      </c>
      <c r="M434" s="17">
        <f t="shared" si="135"/>
        <v>5.2270000000000003</v>
      </c>
      <c r="N434" s="15">
        <v>7.0030000000000001</v>
      </c>
      <c r="O434" s="18">
        <v>0</v>
      </c>
      <c r="P434" s="18">
        <v>0</v>
      </c>
      <c r="Q434" s="19">
        <f t="shared" si="136"/>
        <v>0</v>
      </c>
      <c r="R434" s="18"/>
      <c r="S434" s="20"/>
    </row>
    <row r="435" spans="1:19" ht="15.75" x14ac:dyDescent="0.25">
      <c r="A435" s="22">
        <f t="shared" si="137"/>
        <v>6</v>
      </c>
      <c r="B435" s="12" t="s">
        <v>872</v>
      </c>
      <c r="C435" s="13" t="s">
        <v>873</v>
      </c>
      <c r="D435" s="14">
        <v>45473</v>
      </c>
      <c r="E435" s="15">
        <v>40</v>
      </c>
      <c r="F435" s="16">
        <v>10</v>
      </c>
      <c r="G435" s="17">
        <f t="shared" si="134"/>
        <v>4</v>
      </c>
      <c r="H435" s="15">
        <v>222.05341799999999</v>
      </c>
      <c r="I435" s="15">
        <v>512.08509900000001</v>
      </c>
      <c r="J435" s="15">
        <v>362.31151799999998</v>
      </c>
      <c r="K435" s="15">
        <v>47.464492999999997</v>
      </c>
      <c r="L435" s="15">
        <v>5.7092830000000001</v>
      </c>
      <c r="M435" s="17">
        <f t="shared" si="135"/>
        <v>-1.7783230000000003</v>
      </c>
      <c r="N435" s="15">
        <v>7.4876060000000004</v>
      </c>
      <c r="O435" s="18">
        <v>0</v>
      </c>
      <c r="P435" s="18">
        <v>0</v>
      </c>
      <c r="Q435" s="19">
        <f t="shared" si="136"/>
        <v>0</v>
      </c>
      <c r="R435" s="18"/>
      <c r="S435" s="20">
        <v>2200</v>
      </c>
    </row>
    <row r="436" spans="1:19" ht="15.75" x14ac:dyDescent="0.25">
      <c r="A436" s="22">
        <f t="shared" si="137"/>
        <v>7</v>
      </c>
      <c r="B436" s="22" t="s">
        <v>874</v>
      </c>
      <c r="C436" s="13" t="s">
        <v>875</v>
      </c>
      <c r="D436" s="14">
        <v>45473</v>
      </c>
      <c r="E436" s="15">
        <v>1750.3108400000001</v>
      </c>
      <c r="F436" s="16">
        <v>10</v>
      </c>
      <c r="G436" s="17">
        <f t="shared" si="134"/>
        <v>175.03108400000002</v>
      </c>
      <c r="H436" s="15">
        <v>3180.46</v>
      </c>
      <c r="I436" s="15">
        <v>4108.9650000000001</v>
      </c>
      <c r="J436" s="15">
        <v>5694.0889999999999</v>
      </c>
      <c r="K436" s="15">
        <v>23.806999999999999</v>
      </c>
      <c r="L436" s="15">
        <v>787.35500000000002</v>
      </c>
      <c r="M436" s="17">
        <f t="shared" si="135"/>
        <v>316.31600000000003</v>
      </c>
      <c r="N436" s="15">
        <v>471.03899999999999</v>
      </c>
      <c r="O436" s="18">
        <v>20</v>
      </c>
      <c r="P436" s="18">
        <v>0</v>
      </c>
      <c r="Q436" s="19">
        <f t="shared" si="136"/>
        <v>20</v>
      </c>
      <c r="R436" s="18"/>
      <c r="S436" s="20"/>
    </row>
    <row r="437" spans="1:19" ht="15.75" x14ac:dyDescent="0.25">
      <c r="A437" s="22">
        <f t="shared" si="137"/>
        <v>8</v>
      </c>
      <c r="B437" s="22" t="s">
        <v>876</v>
      </c>
      <c r="C437" s="13" t="s">
        <v>877</v>
      </c>
      <c r="D437" s="14">
        <v>45473</v>
      </c>
      <c r="E437" s="15">
        <v>94.362065000000001</v>
      </c>
      <c r="F437" s="16">
        <v>5</v>
      </c>
      <c r="G437" s="17">
        <f t="shared" si="134"/>
        <v>18.872413000000002</v>
      </c>
      <c r="H437" s="15">
        <v>4293.9652269999997</v>
      </c>
      <c r="I437" s="15">
        <v>5553.0360490000003</v>
      </c>
      <c r="J437" s="15">
        <v>12759.895624000001</v>
      </c>
      <c r="K437" s="15">
        <v>34.093479000000002</v>
      </c>
      <c r="L437" s="15">
        <v>1897.7618729999999</v>
      </c>
      <c r="M437" s="17">
        <f t="shared" si="135"/>
        <v>706.25287200000002</v>
      </c>
      <c r="N437" s="15">
        <v>1191.5090009999999</v>
      </c>
      <c r="O437" s="18">
        <f>150+200</f>
        <v>350</v>
      </c>
      <c r="P437" s="18">
        <v>0</v>
      </c>
      <c r="Q437" s="19">
        <f t="shared" si="136"/>
        <v>350</v>
      </c>
      <c r="R437" s="18"/>
      <c r="S437" s="20">
        <v>1523</v>
      </c>
    </row>
    <row r="438" spans="1:19" ht="15.75" x14ac:dyDescent="0.25">
      <c r="A438" s="22">
        <f t="shared" si="137"/>
        <v>9</v>
      </c>
      <c r="B438" s="22" t="s">
        <v>878</v>
      </c>
      <c r="C438" s="13" t="s">
        <v>879</v>
      </c>
      <c r="D438" s="14">
        <v>45657</v>
      </c>
      <c r="E438" s="15"/>
      <c r="F438" s="16">
        <v>10</v>
      </c>
      <c r="G438" s="17">
        <f t="shared" si="134"/>
        <v>0</v>
      </c>
      <c r="H438" s="15"/>
      <c r="I438" s="15"/>
      <c r="J438" s="15"/>
      <c r="K438" s="15"/>
      <c r="L438" s="15"/>
      <c r="M438" s="17">
        <f t="shared" si="135"/>
        <v>0</v>
      </c>
      <c r="N438" s="15"/>
      <c r="O438" s="18"/>
      <c r="P438" s="18"/>
      <c r="Q438" s="19">
        <f t="shared" si="136"/>
        <v>0</v>
      </c>
      <c r="R438" s="18"/>
      <c r="S438" s="20"/>
    </row>
    <row r="439" spans="1:19" ht="15.75" x14ac:dyDescent="0.25">
      <c r="A439" s="22"/>
      <c r="B439" s="22" t="s">
        <v>880</v>
      </c>
      <c r="C439" s="13" t="s">
        <v>881</v>
      </c>
      <c r="D439" s="14">
        <v>45657</v>
      </c>
      <c r="E439" s="15"/>
      <c r="F439" s="16">
        <v>10</v>
      </c>
      <c r="G439" s="17">
        <f t="shared" si="134"/>
        <v>0</v>
      </c>
      <c r="H439" s="15"/>
      <c r="I439" s="15"/>
      <c r="J439" s="15"/>
      <c r="K439" s="15"/>
      <c r="L439" s="15"/>
      <c r="M439" s="17">
        <f t="shared" si="135"/>
        <v>0</v>
      </c>
      <c r="N439" s="15"/>
      <c r="O439" s="18"/>
      <c r="P439" s="18"/>
      <c r="Q439" s="19">
        <f t="shared" ref="Q439" si="138">SUM(O439:P439)</f>
        <v>0</v>
      </c>
      <c r="R439" s="18"/>
      <c r="S439" s="20"/>
    </row>
    <row r="440" spans="1:19" ht="15.75" x14ac:dyDescent="0.25">
      <c r="A440" s="22">
        <f>+A438+1</f>
        <v>10</v>
      </c>
      <c r="B440" s="22" t="s">
        <v>882</v>
      </c>
      <c r="C440" s="13" t="s">
        <v>883</v>
      </c>
      <c r="D440" s="14">
        <v>45473</v>
      </c>
      <c r="E440" s="15">
        <v>5001.8789999999999</v>
      </c>
      <c r="F440" s="16">
        <v>10</v>
      </c>
      <c r="G440" s="17">
        <f t="shared" si="134"/>
        <v>500.18790000000001</v>
      </c>
      <c r="H440" s="15">
        <v>9853.5740000000005</v>
      </c>
      <c r="I440" s="15">
        <v>16880.636999999999</v>
      </c>
      <c r="J440" s="15">
        <v>5437.3869999999997</v>
      </c>
      <c r="K440" s="15">
        <v>389.36700000000002</v>
      </c>
      <c r="L440" s="15">
        <v>1073.694</v>
      </c>
      <c r="M440" s="17">
        <f t="shared" si="135"/>
        <v>287.88699999999994</v>
      </c>
      <c r="N440" s="15">
        <v>785.80700000000002</v>
      </c>
      <c r="O440" s="18">
        <v>0</v>
      </c>
      <c r="P440" s="18">
        <v>0</v>
      </c>
      <c r="Q440" s="19">
        <f t="shared" ref="Q440" si="139">SUM(O440:P440)</f>
        <v>0</v>
      </c>
      <c r="R440" s="18"/>
      <c r="S440" s="20">
        <v>6623</v>
      </c>
    </row>
    <row r="441" spans="1:19" ht="15.75" x14ac:dyDescent="0.25">
      <c r="A441" s="22">
        <f>+A440+1</f>
        <v>11</v>
      </c>
      <c r="B441" s="22" t="s">
        <v>884</v>
      </c>
      <c r="C441" s="13" t="s">
        <v>885</v>
      </c>
      <c r="D441" s="14">
        <v>45473</v>
      </c>
      <c r="E441" s="15">
        <v>3541.1970000000001</v>
      </c>
      <c r="F441" s="16">
        <v>10</v>
      </c>
      <c r="G441" s="17">
        <f t="shared" si="134"/>
        <v>354.11970000000002</v>
      </c>
      <c r="H441" s="15">
        <v>3811.35</v>
      </c>
      <c r="I441" s="15">
        <v>3938.1080000000002</v>
      </c>
      <c r="J441" s="15">
        <v>170.80199999999999</v>
      </c>
      <c r="K441" s="15">
        <v>10.231</v>
      </c>
      <c r="L441" s="15">
        <v>25.094000000000001</v>
      </c>
      <c r="M441" s="17">
        <f t="shared" si="135"/>
        <v>0.76800000000000068</v>
      </c>
      <c r="N441" s="15">
        <v>24.326000000000001</v>
      </c>
      <c r="O441" s="18">
        <v>0</v>
      </c>
      <c r="P441" s="18">
        <v>0</v>
      </c>
      <c r="Q441" s="19">
        <f t="shared" si="136"/>
        <v>0</v>
      </c>
      <c r="R441" s="18"/>
      <c r="S441" s="20">
        <v>8854</v>
      </c>
    </row>
    <row r="442" spans="1:19" ht="15.75" x14ac:dyDescent="0.25">
      <c r="A442" s="22">
        <f>+A441+1</f>
        <v>12</v>
      </c>
      <c r="B442" s="22" t="s">
        <v>886</v>
      </c>
      <c r="C442" s="13" t="s">
        <v>887</v>
      </c>
      <c r="D442" s="14">
        <v>45473</v>
      </c>
      <c r="E442" s="15">
        <v>923.59050000000002</v>
      </c>
      <c r="F442" s="16">
        <v>10</v>
      </c>
      <c r="G442" s="17">
        <f t="shared" si="134"/>
        <v>92.359049999999996</v>
      </c>
      <c r="H442" s="15">
        <v>43576.006000000001</v>
      </c>
      <c r="I442" s="15">
        <v>83565.733999999997</v>
      </c>
      <c r="J442" s="15">
        <v>120460.326</v>
      </c>
      <c r="K442" s="15">
        <v>3537.0309999999999</v>
      </c>
      <c r="L442" s="15">
        <v>15660.23</v>
      </c>
      <c r="M442" s="17">
        <f t="shared" si="135"/>
        <v>4520.012999999999</v>
      </c>
      <c r="N442" s="15">
        <v>11140.217000000001</v>
      </c>
      <c r="O442" s="18">
        <f>270+330</f>
        <v>600</v>
      </c>
      <c r="P442" s="18">
        <v>0</v>
      </c>
      <c r="Q442" s="19">
        <f t="shared" si="136"/>
        <v>600</v>
      </c>
      <c r="R442" s="18"/>
      <c r="S442" s="20">
        <v>9231</v>
      </c>
    </row>
    <row r="443" spans="1:19" ht="15.75" x14ac:dyDescent="0.25">
      <c r="A443" s="32">
        <f t="shared" ref="A443" si="140">+A442+1</f>
        <v>13</v>
      </c>
      <c r="B443" s="22" t="s">
        <v>888</v>
      </c>
      <c r="C443" s="13" t="s">
        <v>889</v>
      </c>
      <c r="D443" s="14">
        <v>45473</v>
      </c>
      <c r="E443" s="15">
        <v>999.99999000000003</v>
      </c>
      <c r="F443" s="16">
        <v>10</v>
      </c>
      <c r="G443" s="17">
        <f t="shared" si="134"/>
        <v>99.999999000000003</v>
      </c>
      <c r="H443" s="15">
        <v>9287.598</v>
      </c>
      <c r="I443" s="15">
        <v>17266.634999999998</v>
      </c>
      <c r="J443" s="15">
        <v>24314.588</v>
      </c>
      <c r="K443" s="15">
        <v>730.84</v>
      </c>
      <c r="L443" s="15">
        <v>2353.326</v>
      </c>
      <c r="M443" s="17">
        <f t="shared" si="135"/>
        <v>967.57400000000007</v>
      </c>
      <c r="N443" s="15">
        <v>1385.752</v>
      </c>
      <c r="O443" s="18">
        <f>10+10+15</f>
        <v>35</v>
      </c>
      <c r="P443" s="18">
        <v>0</v>
      </c>
      <c r="Q443" s="19">
        <f t="shared" si="136"/>
        <v>35</v>
      </c>
      <c r="R443" s="18"/>
      <c r="S443" s="20">
        <v>1090</v>
      </c>
    </row>
    <row r="444" spans="1:19" ht="15.75" x14ac:dyDescent="0.25">
      <c r="A444" s="22">
        <f t="shared" si="137"/>
        <v>14</v>
      </c>
      <c r="B444" s="22" t="s">
        <v>890</v>
      </c>
      <c r="C444" s="13" t="s">
        <v>891</v>
      </c>
      <c r="D444" s="14">
        <v>45657</v>
      </c>
      <c r="E444" s="15">
        <v>15142.072</v>
      </c>
      <c r="F444" s="16">
        <v>10</v>
      </c>
      <c r="G444" s="17">
        <f t="shared" si="134"/>
        <v>1514.2072000000001</v>
      </c>
      <c r="H444" s="15"/>
      <c r="I444" s="15"/>
      <c r="J444" s="15"/>
      <c r="K444" s="15"/>
      <c r="L444" s="15"/>
      <c r="M444" s="17">
        <f t="shared" si="135"/>
        <v>0</v>
      </c>
      <c r="N444" s="15"/>
      <c r="O444" s="18">
        <f>5</f>
        <v>5</v>
      </c>
      <c r="P444" s="18"/>
      <c r="Q444" s="19">
        <f t="shared" si="136"/>
        <v>5</v>
      </c>
      <c r="R444" s="18"/>
      <c r="S444" s="20"/>
    </row>
    <row r="445" spans="1:19" ht="15.75" x14ac:dyDescent="0.25">
      <c r="A445" s="22">
        <f t="shared" si="137"/>
        <v>15</v>
      </c>
      <c r="B445" s="22" t="s">
        <v>892</v>
      </c>
      <c r="C445" s="13" t="s">
        <v>893</v>
      </c>
      <c r="D445" s="14">
        <v>45473</v>
      </c>
      <c r="E445" s="15">
        <v>75</v>
      </c>
      <c r="F445" s="16">
        <v>10</v>
      </c>
      <c r="G445" s="17">
        <f t="shared" si="134"/>
        <v>7.5</v>
      </c>
      <c r="H445" s="15">
        <v>881.35400000000004</v>
      </c>
      <c r="I445" s="15">
        <v>1872.143</v>
      </c>
      <c r="J445" s="15">
        <v>3344.5340000000001</v>
      </c>
      <c r="K445" s="15">
        <v>90.796000000000006</v>
      </c>
      <c r="L445" s="15">
        <v>102.01900000000001</v>
      </c>
      <c r="M445" s="17">
        <f t="shared" si="135"/>
        <v>20.5</v>
      </c>
      <c r="N445" s="15">
        <v>81.519000000000005</v>
      </c>
      <c r="O445" s="18">
        <v>0</v>
      </c>
      <c r="P445" s="18">
        <v>0</v>
      </c>
      <c r="Q445" s="19">
        <f t="shared" si="136"/>
        <v>0</v>
      </c>
      <c r="R445" s="18"/>
      <c r="S445" s="20">
        <v>669</v>
      </c>
    </row>
    <row r="446" spans="1:19" ht="15.75" x14ac:dyDescent="0.25">
      <c r="A446" s="22">
        <f t="shared" si="137"/>
        <v>16</v>
      </c>
      <c r="B446" s="22" t="s">
        <v>894</v>
      </c>
      <c r="C446" s="13" t="s">
        <v>895</v>
      </c>
      <c r="D446" s="14">
        <v>45473</v>
      </c>
      <c r="E446" s="15">
        <v>1105.9054599999999</v>
      </c>
      <c r="F446" s="16">
        <v>10</v>
      </c>
      <c r="G446" s="17">
        <f t="shared" si="134"/>
        <v>110.59054599999999</v>
      </c>
      <c r="H446" s="15">
        <v>8356.9996749999991</v>
      </c>
      <c r="I446" s="15">
        <v>31286.504216000001</v>
      </c>
      <c r="J446" s="15">
        <v>41925.356873999997</v>
      </c>
      <c r="K446" s="15">
        <v>3795.8510019999999</v>
      </c>
      <c r="L446" s="15">
        <v>1184.6186</v>
      </c>
      <c r="M446" s="17">
        <f t="shared" si="135"/>
        <v>181.74404100000004</v>
      </c>
      <c r="N446" s="15">
        <v>1002.874559</v>
      </c>
      <c r="O446" s="18">
        <f>10+15</f>
        <v>25</v>
      </c>
      <c r="P446" s="18">
        <v>0</v>
      </c>
      <c r="Q446" s="19">
        <f t="shared" si="136"/>
        <v>25</v>
      </c>
      <c r="R446" s="18"/>
      <c r="S446" s="20">
        <v>1826</v>
      </c>
    </row>
    <row r="447" spans="1:19" ht="15.75" x14ac:dyDescent="0.25">
      <c r="A447" s="22">
        <f t="shared" si="137"/>
        <v>17</v>
      </c>
      <c r="B447" s="22" t="s">
        <v>896</v>
      </c>
      <c r="C447" s="13" t="s">
        <v>897</v>
      </c>
      <c r="D447" s="14">
        <v>45473</v>
      </c>
      <c r="E447" s="15">
        <v>1413.21064</v>
      </c>
      <c r="F447" s="16">
        <v>10</v>
      </c>
      <c r="G447" s="17">
        <f t="shared" si="134"/>
        <v>141.32106400000001</v>
      </c>
      <c r="H447" s="15">
        <v>3298.2190430000001</v>
      </c>
      <c r="I447" s="15">
        <v>6487.3112760000004</v>
      </c>
      <c r="J447" s="15">
        <v>8584.7441749999998</v>
      </c>
      <c r="K447" s="15">
        <v>444.95843300000001</v>
      </c>
      <c r="L447" s="15">
        <v>434.79291999999998</v>
      </c>
      <c r="M447" s="17">
        <f t="shared" si="135"/>
        <v>164.417304</v>
      </c>
      <c r="N447" s="15">
        <v>270.37561599999998</v>
      </c>
      <c r="O447" s="18">
        <v>10</v>
      </c>
      <c r="P447" s="18">
        <v>0</v>
      </c>
      <c r="Q447" s="19">
        <f t="shared" si="136"/>
        <v>10</v>
      </c>
      <c r="R447" s="18"/>
      <c r="S447" s="20">
        <v>4944</v>
      </c>
    </row>
    <row r="448" spans="1:19" ht="15.75" x14ac:dyDescent="0.25">
      <c r="A448" s="22">
        <f t="shared" si="137"/>
        <v>18</v>
      </c>
      <c r="B448" s="22" t="s">
        <v>898</v>
      </c>
      <c r="C448" s="13" t="s">
        <v>899</v>
      </c>
      <c r="D448" s="14">
        <v>45657</v>
      </c>
      <c r="E448" s="15"/>
      <c r="F448" s="16">
        <v>10</v>
      </c>
      <c r="G448" s="17">
        <f t="shared" si="134"/>
        <v>0</v>
      </c>
      <c r="H448" s="15"/>
      <c r="I448" s="15"/>
      <c r="J448" s="15"/>
      <c r="K448" s="15"/>
      <c r="L448" s="15"/>
      <c r="M448" s="17">
        <f t="shared" si="135"/>
        <v>0</v>
      </c>
      <c r="N448" s="15"/>
      <c r="O448" s="18"/>
      <c r="P448" s="18"/>
      <c r="Q448" s="19">
        <f t="shared" si="136"/>
        <v>0</v>
      </c>
      <c r="R448" s="18"/>
      <c r="S448" s="20"/>
    </row>
    <row r="449" spans="1:19" ht="15.75" x14ac:dyDescent="0.25">
      <c r="A449" s="22">
        <f t="shared" si="137"/>
        <v>19</v>
      </c>
      <c r="B449" s="22" t="s">
        <v>900</v>
      </c>
      <c r="C449" s="13" t="s">
        <v>901</v>
      </c>
      <c r="D449" s="14">
        <v>45473</v>
      </c>
      <c r="E449" s="15">
        <v>60</v>
      </c>
      <c r="F449" s="16">
        <v>10</v>
      </c>
      <c r="G449" s="17">
        <f t="shared" si="134"/>
        <v>6</v>
      </c>
      <c r="H449" s="15">
        <v>304.16216500000002</v>
      </c>
      <c r="I449" s="15">
        <v>429.07277399999998</v>
      </c>
      <c r="J449" s="15">
        <v>503.869911</v>
      </c>
      <c r="K449" s="15">
        <v>11.387801</v>
      </c>
      <c r="L449" s="15">
        <v>76.977090000000004</v>
      </c>
      <c r="M449" s="17">
        <f t="shared" si="135"/>
        <v>24.647661000000006</v>
      </c>
      <c r="N449" s="15">
        <v>52.329428999999998</v>
      </c>
      <c r="O449" s="18">
        <v>20</v>
      </c>
      <c r="P449" s="18">
        <v>0</v>
      </c>
      <c r="Q449" s="19">
        <f t="shared" si="136"/>
        <v>20</v>
      </c>
      <c r="R449" s="18"/>
      <c r="S449" s="20">
        <v>1681</v>
      </c>
    </row>
    <row r="450" spans="1:19" ht="15.75" x14ac:dyDescent="0.25">
      <c r="A450" s="22">
        <f t="shared" si="137"/>
        <v>20</v>
      </c>
      <c r="B450" s="22" t="s">
        <v>902</v>
      </c>
      <c r="C450" s="13" t="s">
        <v>903</v>
      </c>
      <c r="D450" s="14">
        <v>45473</v>
      </c>
      <c r="E450" s="15">
        <v>214.29407</v>
      </c>
      <c r="F450" s="16">
        <v>10</v>
      </c>
      <c r="G450" s="17">
        <f t="shared" si="134"/>
        <v>21.429407000000001</v>
      </c>
      <c r="H450" s="15">
        <v>18064.086759000002</v>
      </c>
      <c r="I450" s="15">
        <v>40510.869525000002</v>
      </c>
      <c r="J450" s="15">
        <v>31111.879733000002</v>
      </c>
      <c r="K450" s="15">
        <v>2348.6978810000001</v>
      </c>
      <c r="L450" s="15">
        <v>1084.0740470000001</v>
      </c>
      <c r="M450" s="17">
        <f t="shared" si="135"/>
        <v>498.56640100000004</v>
      </c>
      <c r="N450" s="15">
        <v>585.50764600000002</v>
      </c>
      <c r="O450" s="18">
        <v>100</v>
      </c>
      <c r="P450" s="18">
        <v>0</v>
      </c>
      <c r="Q450" s="19">
        <f t="shared" si="136"/>
        <v>100</v>
      </c>
      <c r="R450" s="18"/>
      <c r="S450" s="20">
        <v>1716</v>
      </c>
    </row>
    <row r="451" spans="1:19" ht="15.75" x14ac:dyDescent="0.25">
      <c r="A451" s="22">
        <f t="shared" si="137"/>
        <v>21</v>
      </c>
      <c r="B451" s="22" t="s">
        <v>904</v>
      </c>
      <c r="C451" s="13" t="s">
        <v>905</v>
      </c>
      <c r="D451" s="14">
        <v>45473</v>
      </c>
      <c r="E451" s="15">
        <v>90</v>
      </c>
      <c r="F451" s="16">
        <v>10</v>
      </c>
      <c r="G451" s="17">
        <f t="shared" si="134"/>
        <v>9</v>
      </c>
      <c r="H451" s="15">
        <v>2258.3918090000002</v>
      </c>
      <c r="I451" s="15">
        <v>2982.6812460000001</v>
      </c>
      <c r="J451" s="15">
        <v>4684.7211580000003</v>
      </c>
      <c r="K451" s="15">
        <v>28.747239</v>
      </c>
      <c r="L451" s="15">
        <v>906.33067300000005</v>
      </c>
      <c r="M451" s="17">
        <f t="shared" si="135"/>
        <v>356.91672600000004</v>
      </c>
      <c r="N451" s="15">
        <v>549.41394700000001</v>
      </c>
      <c r="O451" s="18">
        <v>100</v>
      </c>
      <c r="P451" s="18">
        <v>0</v>
      </c>
      <c r="Q451" s="19">
        <f t="shared" si="136"/>
        <v>100</v>
      </c>
      <c r="R451" s="18"/>
      <c r="S451" s="20">
        <v>827</v>
      </c>
    </row>
    <row r="452" spans="1:19" ht="15.75" x14ac:dyDescent="0.25">
      <c r="A452" s="22">
        <v>1</v>
      </c>
      <c r="B452" s="22" t="s">
        <v>906</v>
      </c>
      <c r="C452" s="13" t="s">
        <v>907</v>
      </c>
      <c r="D452" s="14">
        <v>45473</v>
      </c>
      <c r="E452" s="15">
        <v>75.025099999999995</v>
      </c>
      <c r="F452" s="16">
        <v>10</v>
      </c>
      <c r="G452" s="17">
        <f>+E452/F452</f>
        <v>7.5025099999999991</v>
      </c>
      <c r="H452" s="15">
        <v>24.794474999999998</v>
      </c>
      <c r="I452" s="15">
        <v>31.312439999999999</v>
      </c>
      <c r="J452" s="15">
        <v>0</v>
      </c>
      <c r="K452" s="15">
        <v>7.5529999999999998E-3</v>
      </c>
      <c r="L452" s="15">
        <v>-22.455172000000001</v>
      </c>
      <c r="M452" s="17">
        <f>+L452-N452</f>
        <v>0.16812200000000033</v>
      </c>
      <c r="N452" s="15">
        <v>-22.623294000000001</v>
      </c>
      <c r="O452" s="18">
        <v>0</v>
      </c>
      <c r="P452" s="18">
        <v>0</v>
      </c>
      <c r="Q452" s="19">
        <f>SUM(O452:P452)</f>
        <v>0</v>
      </c>
      <c r="R452" s="18">
        <v>7997.32</v>
      </c>
      <c r="S452" s="20">
        <v>816</v>
      </c>
    </row>
    <row r="453" spans="1:19" ht="15.75" x14ac:dyDescent="0.25">
      <c r="A453" s="22">
        <f>+A452+1</f>
        <v>2</v>
      </c>
      <c r="B453" s="22" t="s">
        <v>908</v>
      </c>
      <c r="C453" s="13" t="s">
        <v>909</v>
      </c>
      <c r="D453" s="14">
        <v>45473</v>
      </c>
      <c r="E453" s="15">
        <v>149.58000000000001</v>
      </c>
      <c r="F453" s="16">
        <v>10</v>
      </c>
      <c r="G453" s="17">
        <f>+E453/F453</f>
        <v>14.958000000000002</v>
      </c>
      <c r="H453" s="15">
        <v>-25.379128999999999</v>
      </c>
      <c r="I453" s="15">
        <v>269.02882499999998</v>
      </c>
      <c r="J453" s="15">
        <v>8.7677750000000003</v>
      </c>
      <c r="K453" s="15">
        <v>3.6443400000000001</v>
      </c>
      <c r="L453" s="15">
        <v>-8.9623740000000005</v>
      </c>
      <c r="M453" s="17">
        <f>+L453-N453</f>
        <v>-4.1394460000000004</v>
      </c>
      <c r="N453" s="15">
        <v>-4.8229280000000001</v>
      </c>
      <c r="O453" s="18">
        <v>0</v>
      </c>
      <c r="P453" s="18">
        <v>0</v>
      </c>
      <c r="Q453" s="19">
        <f>SUM(O453:P453)</f>
        <v>0</v>
      </c>
      <c r="R453" s="18"/>
      <c r="S453" s="20">
        <v>570</v>
      </c>
    </row>
    <row r="454" spans="1:19" ht="15.75" x14ac:dyDescent="0.25">
      <c r="A454" s="22">
        <f>+A453+1</f>
        <v>3</v>
      </c>
      <c r="B454" s="22" t="s">
        <v>910</v>
      </c>
      <c r="C454" s="13" t="s">
        <v>911</v>
      </c>
      <c r="D454" s="14">
        <v>45473</v>
      </c>
      <c r="E454" s="15">
        <v>120</v>
      </c>
      <c r="F454" s="16">
        <v>10</v>
      </c>
      <c r="G454" s="17">
        <f>+E454/F454</f>
        <v>12</v>
      </c>
      <c r="H454" s="15">
        <v>-55.857778000000003</v>
      </c>
      <c r="I454" s="15">
        <v>55.064670999999997</v>
      </c>
      <c r="J454" s="15">
        <v>20.238606000000001</v>
      </c>
      <c r="K454" s="15">
        <v>9.4808310000000002</v>
      </c>
      <c r="L454" s="15">
        <v>-14.286989</v>
      </c>
      <c r="M454" s="17">
        <f>+L454-N454</f>
        <v>0.69744399999999906</v>
      </c>
      <c r="N454" s="15">
        <v>-14.984432999999999</v>
      </c>
      <c r="O454" s="18">
        <v>0</v>
      </c>
      <c r="P454" s="18">
        <v>0</v>
      </c>
      <c r="Q454" s="19">
        <f>SUM(O454:P454)</f>
        <v>0</v>
      </c>
      <c r="R454" s="18"/>
      <c r="S454" s="20">
        <v>1031</v>
      </c>
    </row>
    <row r="455" spans="1:19" ht="15.75" x14ac:dyDescent="0.25">
      <c r="A455" s="22">
        <f>+A454+1</f>
        <v>4</v>
      </c>
      <c r="B455" s="22" t="s">
        <v>912</v>
      </c>
      <c r="C455" s="13" t="s">
        <v>913</v>
      </c>
      <c r="D455" s="14">
        <v>45473</v>
      </c>
      <c r="E455" s="15">
        <v>551</v>
      </c>
      <c r="F455" s="16">
        <v>10</v>
      </c>
      <c r="G455" s="17">
        <f>+E455/F455</f>
        <v>55.1</v>
      </c>
      <c r="H455" s="15">
        <v>1320.7836259999999</v>
      </c>
      <c r="I455" s="15">
        <v>3436.7237449999998</v>
      </c>
      <c r="J455" s="15">
        <v>823.99830499999996</v>
      </c>
      <c r="K455" s="15">
        <v>68.448051000000007</v>
      </c>
      <c r="L455" s="15">
        <v>-753.26244999999994</v>
      </c>
      <c r="M455" s="17">
        <f>+L455-N455</f>
        <v>39.516210000000001</v>
      </c>
      <c r="N455" s="15">
        <v>-792.77865999999995</v>
      </c>
      <c r="O455" s="18">
        <v>0</v>
      </c>
      <c r="P455" s="18">
        <v>0</v>
      </c>
      <c r="Q455" s="19">
        <f>SUM(O455:P455)</f>
        <v>0</v>
      </c>
      <c r="R455" s="18"/>
      <c r="S455" s="20">
        <v>6852</v>
      </c>
    </row>
    <row r="456" spans="1:19" ht="15.75" x14ac:dyDescent="0.25">
      <c r="A456" s="12">
        <v>1</v>
      </c>
      <c r="B456" s="22" t="s">
        <v>914</v>
      </c>
      <c r="C456" s="13" t="s">
        <v>915</v>
      </c>
      <c r="D456" s="14">
        <v>45473</v>
      </c>
      <c r="E456" s="15">
        <v>4017.1292600000002</v>
      </c>
      <c r="F456" s="16">
        <v>10</v>
      </c>
      <c r="G456" s="17">
        <f t="shared" ref="G456:G464" si="141">+E456/F456</f>
        <v>401.71292600000004</v>
      </c>
      <c r="H456" s="15">
        <v>13681.886</v>
      </c>
      <c r="I456" s="15">
        <v>29536.931</v>
      </c>
      <c r="J456" s="15">
        <v>42015.48</v>
      </c>
      <c r="K456" s="15">
        <v>1847.8340000000001</v>
      </c>
      <c r="L456" s="15">
        <v>963.04499999999996</v>
      </c>
      <c r="M456" s="17">
        <f t="shared" ref="M456:M464" si="142">+L456-N456</f>
        <v>439.15199999999993</v>
      </c>
      <c r="N456" s="15">
        <v>523.89300000000003</v>
      </c>
      <c r="O456" s="18">
        <v>0</v>
      </c>
      <c r="P456" s="18">
        <v>0</v>
      </c>
      <c r="Q456" s="19">
        <f t="shared" ref="Q456:Q462" si="143">SUM(O456:P456)</f>
        <v>0</v>
      </c>
      <c r="R456" s="18"/>
      <c r="S456" s="20">
        <v>4337</v>
      </c>
    </row>
    <row r="457" spans="1:19" ht="15.75" x14ac:dyDescent="0.25">
      <c r="A457" s="12">
        <f t="shared" ref="A457:A465" si="144">+A456+1</f>
        <v>2</v>
      </c>
      <c r="B457" s="12" t="s">
        <v>916</v>
      </c>
      <c r="C457" s="13" t="s">
        <v>917</v>
      </c>
      <c r="D457" s="14">
        <v>45473</v>
      </c>
      <c r="E457" s="15">
        <v>490.95396</v>
      </c>
      <c r="F457" s="16">
        <v>10</v>
      </c>
      <c r="G457" s="17">
        <f t="shared" si="141"/>
        <v>49.095396000000001</v>
      </c>
      <c r="H457" s="15">
        <v>8152.1459999999997</v>
      </c>
      <c r="I457" s="15">
        <v>13792.914000000001</v>
      </c>
      <c r="J457" s="15">
        <v>13820.153</v>
      </c>
      <c r="K457" s="15">
        <v>837.73</v>
      </c>
      <c r="L457" s="15">
        <v>1038.2760000000001</v>
      </c>
      <c r="M457" s="17">
        <f t="shared" si="142"/>
        <v>152.38400000000001</v>
      </c>
      <c r="N457" s="15">
        <v>885.89200000000005</v>
      </c>
      <c r="O457" s="18">
        <f>10+35</f>
        <v>45</v>
      </c>
      <c r="P457" s="18">
        <v>0</v>
      </c>
      <c r="Q457" s="19">
        <f t="shared" si="143"/>
        <v>45</v>
      </c>
      <c r="R457" s="18"/>
      <c r="S457" s="20">
        <v>1532</v>
      </c>
    </row>
    <row r="458" spans="1:19" ht="15.75" x14ac:dyDescent="0.25">
      <c r="A458" s="12">
        <f t="shared" si="144"/>
        <v>3</v>
      </c>
      <c r="B458" s="12" t="s">
        <v>918</v>
      </c>
      <c r="C458" s="13" t="s">
        <v>919</v>
      </c>
      <c r="D458" s="14">
        <v>45473</v>
      </c>
      <c r="E458" s="15">
        <v>7002</v>
      </c>
      <c r="F458" s="16">
        <v>10</v>
      </c>
      <c r="G458" s="17">
        <f t="shared" si="141"/>
        <v>700.2</v>
      </c>
      <c r="H458" s="15">
        <v>15547.392</v>
      </c>
      <c r="I458" s="15">
        <v>27632.047999999999</v>
      </c>
      <c r="J458" s="15">
        <v>17088.884999999998</v>
      </c>
      <c r="K458" s="15">
        <v>1527.181</v>
      </c>
      <c r="L458" s="15">
        <v>1739.098</v>
      </c>
      <c r="M458" s="17">
        <f t="shared" si="142"/>
        <v>601.58500000000004</v>
      </c>
      <c r="N458" s="15">
        <v>1137.5129999999999</v>
      </c>
      <c r="O458" s="18">
        <v>0</v>
      </c>
      <c r="P458" s="18">
        <v>0</v>
      </c>
      <c r="Q458" s="19">
        <f t="shared" ref="Q458" si="145">SUM(O458:P458)</f>
        <v>0</v>
      </c>
      <c r="R458" s="18"/>
      <c r="S458" s="20">
        <v>1841</v>
      </c>
    </row>
    <row r="459" spans="1:19" ht="15.75" x14ac:dyDescent="0.25">
      <c r="A459" s="12">
        <f t="shared" si="144"/>
        <v>4</v>
      </c>
      <c r="B459" s="12" t="s">
        <v>920</v>
      </c>
      <c r="C459" s="13" t="s">
        <v>921</v>
      </c>
      <c r="D459" s="14">
        <v>45473</v>
      </c>
      <c r="E459" s="15">
        <v>593.01149999999996</v>
      </c>
      <c r="F459" s="16">
        <v>10</v>
      </c>
      <c r="G459" s="17">
        <f>+E459/F459</f>
        <v>59.301149999999993</v>
      </c>
      <c r="H459" s="15">
        <v>2236.9712709999999</v>
      </c>
      <c r="I459" s="15">
        <v>4805.6613010000001</v>
      </c>
      <c r="J459" s="15">
        <v>5619.4082330000001</v>
      </c>
      <c r="K459" s="15">
        <v>135.11886899999999</v>
      </c>
      <c r="L459" s="15">
        <v>417.61397399999998</v>
      </c>
      <c r="M459" s="17">
        <f>+L459-N459</f>
        <v>159.893665</v>
      </c>
      <c r="N459" s="15">
        <v>257.72030899999999</v>
      </c>
      <c r="O459" s="18">
        <v>12.5</v>
      </c>
      <c r="P459" s="18">
        <v>0</v>
      </c>
      <c r="Q459" s="19">
        <f>SUM(O459:P459)</f>
        <v>12.5</v>
      </c>
      <c r="R459" s="18"/>
      <c r="S459" s="20">
        <v>1196</v>
      </c>
    </row>
    <row r="460" spans="1:19" ht="15.75" x14ac:dyDescent="0.25">
      <c r="A460" s="12">
        <f t="shared" si="144"/>
        <v>5</v>
      </c>
      <c r="B460" s="12" t="s">
        <v>922</v>
      </c>
      <c r="C460" s="13" t="s">
        <v>923</v>
      </c>
      <c r="D460" s="14">
        <v>45473</v>
      </c>
      <c r="E460" s="15">
        <v>1999.5842700000001</v>
      </c>
      <c r="F460" s="16">
        <v>10</v>
      </c>
      <c r="G460" s="17">
        <f t="shared" si="141"/>
        <v>199.958427</v>
      </c>
      <c r="H460" s="15">
        <v>2923.912562</v>
      </c>
      <c r="I460" s="15">
        <v>5327.7827029999999</v>
      </c>
      <c r="J460" s="15">
        <v>6638.4773679999998</v>
      </c>
      <c r="K460" s="15">
        <v>351.72840000000002</v>
      </c>
      <c r="L460" s="15">
        <v>-186.36242200000001</v>
      </c>
      <c r="M460" s="17">
        <f t="shared" si="142"/>
        <v>0</v>
      </c>
      <c r="N460" s="15">
        <v>-186.36242200000001</v>
      </c>
      <c r="O460" s="18">
        <v>0</v>
      </c>
      <c r="P460" s="18">
        <v>0</v>
      </c>
      <c r="Q460" s="19">
        <f t="shared" si="143"/>
        <v>0</v>
      </c>
      <c r="R460" s="18"/>
      <c r="S460" s="20">
        <v>1550</v>
      </c>
    </row>
    <row r="461" spans="1:19" ht="15.75" x14ac:dyDescent="0.25">
      <c r="A461" s="12">
        <f t="shared" si="144"/>
        <v>6</v>
      </c>
      <c r="B461" s="12" t="s">
        <v>924</v>
      </c>
      <c r="C461" s="13" t="s">
        <v>925</v>
      </c>
      <c r="D461" s="14">
        <v>45657</v>
      </c>
      <c r="E461" s="15"/>
      <c r="F461" s="16">
        <v>10</v>
      </c>
      <c r="G461" s="17">
        <f t="shared" si="141"/>
        <v>0</v>
      </c>
      <c r="H461" s="15"/>
      <c r="I461" s="15"/>
      <c r="J461" s="15"/>
      <c r="K461" s="15"/>
      <c r="L461" s="15"/>
      <c r="M461" s="17">
        <f t="shared" si="142"/>
        <v>0</v>
      </c>
      <c r="N461" s="15"/>
      <c r="O461" s="18"/>
      <c r="P461" s="18"/>
      <c r="Q461" s="19">
        <f t="shared" si="143"/>
        <v>0</v>
      </c>
      <c r="R461" s="18"/>
      <c r="S461" s="20"/>
    </row>
    <row r="462" spans="1:19" ht="15.75" x14ac:dyDescent="0.25">
      <c r="A462" s="12">
        <f t="shared" si="144"/>
        <v>7</v>
      </c>
      <c r="B462" s="22" t="s">
        <v>926</v>
      </c>
      <c r="C462" s="13" t="s">
        <v>927</v>
      </c>
      <c r="D462" s="14">
        <v>45473</v>
      </c>
      <c r="E462" s="15">
        <v>80</v>
      </c>
      <c r="F462" s="16">
        <v>10</v>
      </c>
      <c r="G462" s="17">
        <f t="shared" si="141"/>
        <v>8</v>
      </c>
      <c r="H462" s="15">
        <v>1661.341964</v>
      </c>
      <c r="I462" s="15">
        <v>2141.327284</v>
      </c>
      <c r="J462" s="15">
        <v>1927.2810320000001</v>
      </c>
      <c r="K462" s="15">
        <v>59.853945000000003</v>
      </c>
      <c r="L462" s="15">
        <v>231.101328</v>
      </c>
      <c r="M462" s="17">
        <f t="shared" si="142"/>
        <v>75.190498999999988</v>
      </c>
      <c r="N462" s="15">
        <v>155.91082900000001</v>
      </c>
      <c r="O462" s="18">
        <f>35+40</f>
        <v>75</v>
      </c>
      <c r="P462" s="18">
        <v>0</v>
      </c>
      <c r="Q462" s="19">
        <f t="shared" si="143"/>
        <v>75</v>
      </c>
      <c r="R462" s="18"/>
      <c r="S462" s="20">
        <v>807</v>
      </c>
    </row>
    <row r="463" spans="1:19" ht="15.75" x14ac:dyDescent="0.25">
      <c r="A463" s="12">
        <f t="shared" si="144"/>
        <v>8</v>
      </c>
      <c r="B463" s="22" t="s">
        <v>928</v>
      </c>
      <c r="C463" s="13" t="s">
        <v>929</v>
      </c>
      <c r="D463" s="14">
        <v>45473</v>
      </c>
      <c r="E463" s="15">
        <v>1419</v>
      </c>
      <c r="F463" s="16">
        <v>10</v>
      </c>
      <c r="G463" s="17">
        <f t="shared" si="141"/>
        <v>141.9</v>
      </c>
      <c r="H463" s="15">
        <v>7672.2045010000002</v>
      </c>
      <c r="I463" s="15">
        <v>11863.943861</v>
      </c>
      <c r="J463" s="15">
        <v>10333.515868</v>
      </c>
      <c r="K463" s="15">
        <v>300.71421800000002</v>
      </c>
      <c r="L463" s="15">
        <v>415.73591499999998</v>
      </c>
      <c r="M463" s="17">
        <f t="shared" si="142"/>
        <v>204.47422799999998</v>
      </c>
      <c r="N463" s="15">
        <v>211.26168699999999</v>
      </c>
      <c r="O463" s="18">
        <v>10</v>
      </c>
      <c r="P463" s="18">
        <v>0</v>
      </c>
      <c r="Q463" s="19">
        <f t="shared" ref="Q463" si="146">SUM(O463:P463)</f>
        <v>10</v>
      </c>
      <c r="R463" s="18"/>
      <c r="S463" s="20">
        <v>5230</v>
      </c>
    </row>
    <row r="464" spans="1:19" ht="15.75" x14ac:dyDescent="0.25">
      <c r="A464" s="12">
        <f t="shared" si="144"/>
        <v>9</v>
      </c>
      <c r="B464" s="22" t="s">
        <v>930</v>
      </c>
      <c r="C464" s="13" t="s">
        <v>931</v>
      </c>
      <c r="D464" s="14">
        <v>45473</v>
      </c>
      <c r="E464" s="15">
        <v>592.55899999999997</v>
      </c>
      <c r="F464" s="16">
        <v>10</v>
      </c>
      <c r="G464" s="17">
        <f t="shared" si="141"/>
        <v>59.255899999999997</v>
      </c>
      <c r="H464" s="15">
        <v>8220.2980000000007</v>
      </c>
      <c r="I464" s="15">
        <v>10541.58</v>
      </c>
      <c r="J464" s="15">
        <v>7311.732</v>
      </c>
      <c r="K464" s="15">
        <v>6.0880000000000001</v>
      </c>
      <c r="L464" s="15">
        <v>2392.1579999999999</v>
      </c>
      <c r="M464" s="17">
        <f t="shared" si="142"/>
        <v>903.47399999999993</v>
      </c>
      <c r="N464" s="15">
        <v>1488.684</v>
      </c>
      <c r="O464" s="18">
        <f>25+100</f>
        <v>125</v>
      </c>
      <c r="P464" s="18">
        <v>0</v>
      </c>
      <c r="Q464" s="19">
        <f t="shared" ref="Q464" si="147">SUM(O464:P464)</f>
        <v>125</v>
      </c>
      <c r="R464" s="18"/>
      <c r="S464" s="20">
        <v>1931</v>
      </c>
    </row>
    <row r="465" spans="1:19" ht="15.75" x14ac:dyDescent="0.25">
      <c r="A465" s="12">
        <f t="shared" si="144"/>
        <v>10</v>
      </c>
      <c r="B465" s="12" t="s">
        <v>932</v>
      </c>
      <c r="C465" s="13" t="s">
        <v>933</v>
      </c>
      <c r="D465" s="14">
        <v>45473</v>
      </c>
      <c r="E465" s="15">
        <v>998.68007999999998</v>
      </c>
      <c r="F465" s="16">
        <v>5</v>
      </c>
      <c r="G465" s="17">
        <f t="shared" ref="G465:G476" si="148">+E465/F465</f>
        <v>199.73601600000001</v>
      </c>
      <c r="H465" s="15">
        <v>5122.3891110000004</v>
      </c>
      <c r="I465" s="15">
        <v>7303.401089</v>
      </c>
      <c r="J465" s="15">
        <v>6965.1046669999996</v>
      </c>
      <c r="K465" s="15">
        <v>133.274247</v>
      </c>
      <c r="L465" s="15">
        <v>907.81886799999995</v>
      </c>
      <c r="M465" s="17">
        <f t="shared" ref="M465:M476" si="149">+L465-N465</f>
        <v>266.85172799999998</v>
      </c>
      <c r="N465" s="15">
        <v>640.96713999999997</v>
      </c>
      <c r="O465" s="18">
        <v>16</v>
      </c>
      <c r="P465" s="18">
        <v>0</v>
      </c>
      <c r="Q465" s="19">
        <f t="shared" ref="Q465:Q476" si="150">SUM(O465:P465)</f>
        <v>16</v>
      </c>
      <c r="R465" s="18"/>
      <c r="S465" s="20">
        <v>1988</v>
      </c>
    </row>
    <row r="466" spans="1:19" ht="15.75" x14ac:dyDescent="0.25">
      <c r="A466" s="22">
        <v>1</v>
      </c>
      <c r="B466" s="22" t="s">
        <v>934</v>
      </c>
      <c r="C466" s="13" t="s">
        <v>935</v>
      </c>
      <c r="D466" s="14">
        <v>45473</v>
      </c>
      <c r="E466" s="15"/>
      <c r="F466" s="16">
        <v>10</v>
      </c>
      <c r="G466" s="17">
        <f t="shared" si="148"/>
        <v>0</v>
      </c>
      <c r="H466" s="15"/>
      <c r="I466" s="15"/>
      <c r="J466" s="15"/>
      <c r="K466" s="15"/>
      <c r="L466" s="15"/>
      <c r="M466" s="15">
        <f t="shared" si="149"/>
        <v>0</v>
      </c>
      <c r="N466" s="15"/>
      <c r="O466" s="18"/>
      <c r="P466" s="18"/>
      <c r="Q466" s="18">
        <f t="shared" si="150"/>
        <v>0</v>
      </c>
      <c r="R466" s="18"/>
      <c r="S466" s="20"/>
    </row>
    <row r="467" spans="1:19" ht="15.75" x14ac:dyDescent="0.25">
      <c r="A467" s="22">
        <f>+A466+1</f>
        <v>2</v>
      </c>
      <c r="B467" s="12" t="s">
        <v>936</v>
      </c>
      <c r="C467" s="13" t="s">
        <v>937</v>
      </c>
      <c r="D467" s="14">
        <v>45473</v>
      </c>
      <c r="E467" s="15">
        <v>40</v>
      </c>
      <c r="F467" s="16">
        <v>10</v>
      </c>
      <c r="G467" s="17">
        <f t="shared" si="148"/>
        <v>4</v>
      </c>
      <c r="H467" s="15">
        <v>30.918520000000001</v>
      </c>
      <c r="I467" s="15">
        <v>43.612412999999997</v>
      </c>
      <c r="J467" s="15">
        <v>0</v>
      </c>
      <c r="K467" s="15">
        <v>0</v>
      </c>
      <c r="L467" s="15">
        <v>-3.627408</v>
      </c>
      <c r="M467" s="17">
        <f t="shared" si="149"/>
        <v>-1.0519479999999999</v>
      </c>
      <c r="N467" s="15">
        <v>-2.5754600000000001</v>
      </c>
      <c r="O467" s="18">
        <v>0</v>
      </c>
      <c r="P467" s="18">
        <v>0</v>
      </c>
      <c r="Q467" s="19">
        <f t="shared" si="150"/>
        <v>0</v>
      </c>
      <c r="R467" s="18"/>
      <c r="S467" s="20">
        <v>88</v>
      </c>
    </row>
    <row r="468" spans="1:19" ht="15.75" x14ac:dyDescent="0.25">
      <c r="A468" s="12">
        <v>1</v>
      </c>
      <c r="B468" s="12" t="s">
        <v>938</v>
      </c>
      <c r="C468" s="13" t="s">
        <v>939</v>
      </c>
      <c r="D468" s="14">
        <v>45473</v>
      </c>
      <c r="E468" s="15">
        <v>77.625380000000007</v>
      </c>
      <c r="F468" s="16">
        <v>10</v>
      </c>
      <c r="G468" s="17">
        <f t="shared" si="148"/>
        <v>7.762538000000001</v>
      </c>
      <c r="H468" s="15">
        <v>2622.1579069999998</v>
      </c>
      <c r="I468" s="15">
        <v>4338.0066440000001</v>
      </c>
      <c r="J468" s="15">
        <v>8052.4435759999997</v>
      </c>
      <c r="K468" s="15">
        <v>168.80621500000001</v>
      </c>
      <c r="L468" s="15">
        <v>10.769876999999999</v>
      </c>
      <c r="M468" s="17">
        <f t="shared" si="149"/>
        <v>48.184415000000001</v>
      </c>
      <c r="N468" s="15">
        <v>-37.414538</v>
      </c>
      <c r="O468" s="18">
        <v>0</v>
      </c>
      <c r="P468" s="18">
        <v>0</v>
      </c>
      <c r="Q468" s="19">
        <f t="shared" si="150"/>
        <v>0</v>
      </c>
      <c r="R468" s="18"/>
      <c r="S468" s="20">
        <v>1190</v>
      </c>
    </row>
    <row r="469" spans="1:19" ht="15.75" x14ac:dyDescent="0.25">
      <c r="A469" s="12">
        <f>+A468+1</f>
        <v>2</v>
      </c>
      <c r="B469" s="12" t="s">
        <v>940</v>
      </c>
      <c r="C469" s="13" t="s">
        <v>941</v>
      </c>
      <c r="D469" s="14">
        <v>45473</v>
      </c>
      <c r="E469" s="15">
        <v>56.584000000000003</v>
      </c>
      <c r="F469" s="16">
        <v>10</v>
      </c>
      <c r="G469" s="17">
        <f t="shared" si="148"/>
        <v>5.6584000000000003</v>
      </c>
      <c r="H469" s="15">
        <v>1675.541858</v>
      </c>
      <c r="I469" s="15">
        <v>3278.6171020000002</v>
      </c>
      <c r="J469" s="15">
        <v>4516.3471749999999</v>
      </c>
      <c r="K469" s="15">
        <v>278.12479000000002</v>
      </c>
      <c r="L469" s="15">
        <v>-148.32440099999999</v>
      </c>
      <c r="M469" s="17">
        <f t="shared" si="149"/>
        <v>-0.48170700000000011</v>
      </c>
      <c r="N469" s="15">
        <v>-147.84269399999999</v>
      </c>
      <c r="O469" s="18">
        <v>0</v>
      </c>
      <c r="P469" s="18">
        <v>0</v>
      </c>
      <c r="Q469" s="19">
        <f t="shared" si="150"/>
        <v>0</v>
      </c>
      <c r="R469" s="18"/>
      <c r="S469" s="20">
        <v>971</v>
      </c>
    </row>
    <row r="470" spans="1:19" ht="15.75" x14ac:dyDescent="0.25">
      <c r="A470" s="12">
        <v>1</v>
      </c>
      <c r="B470" s="12" t="s">
        <v>942</v>
      </c>
      <c r="C470" s="13" t="s">
        <v>943</v>
      </c>
      <c r="D470" s="14">
        <v>45473</v>
      </c>
      <c r="E470" s="15"/>
      <c r="F470" s="16">
        <v>10</v>
      </c>
      <c r="G470" s="17">
        <f t="shared" si="148"/>
        <v>0</v>
      </c>
      <c r="H470" s="15"/>
      <c r="I470" s="15"/>
      <c r="J470" s="15"/>
      <c r="K470" s="15"/>
      <c r="L470" s="15"/>
      <c r="M470" s="17">
        <f t="shared" si="149"/>
        <v>0</v>
      </c>
      <c r="N470" s="15"/>
      <c r="O470" s="18"/>
      <c r="P470" s="18"/>
      <c r="Q470" s="19">
        <f t="shared" si="150"/>
        <v>0</v>
      </c>
      <c r="R470" s="18"/>
      <c r="S470" s="20"/>
    </row>
    <row r="471" spans="1:19" ht="15.75" x14ac:dyDescent="0.25">
      <c r="A471" s="22">
        <v>1</v>
      </c>
      <c r="B471" s="22" t="s">
        <v>944</v>
      </c>
      <c r="C471" s="13" t="s">
        <v>945</v>
      </c>
      <c r="D471" s="14">
        <v>45657</v>
      </c>
      <c r="E471" s="15">
        <v>75.599999999999994</v>
      </c>
      <c r="F471" s="16">
        <v>10</v>
      </c>
      <c r="G471" s="17">
        <f t="shared" si="148"/>
        <v>7.56</v>
      </c>
      <c r="H471" s="15"/>
      <c r="I471" s="15"/>
      <c r="J471" s="15"/>
      <c r="K471" s="15"/>
      <c r="L471" s="15"/>
      <c r="M471" s="17">
        <f t="shared" si="149"/>
        <v>0</v>
      </c>
      <c r="N471" s="15"/>
      <c r="O471" s="18">
        <f>1300</f>
        <v>1300</v>
      </c>
      <c r="P471" s="18"/>
      <c r="Q471" s="19">
        <f t="shared" si="150"/>
        <v>1300</v>
      </c>
      <c r="R471" s="18"/>
      <c r="S471" s="20"/>
    </row>
    <row r="472" spans="1:19" ht="15.75" x14ac:dyDescent="0.25">
      <c r="A472" s="22">
        <f>+A471+1</f>
        <v>2</v>
      </c>
      <c r="B472" s="22" t="s">
        <v>946</v>
      </c>
      <c r="C472" s="13" t="s">
        <v>947</v>
      </c>
      <c r="D472" s="14">
        <v>45473</v>
      </c>
      <c r="E472" s="15">
        <v>60</v>
      </c>
      <c r="F472" s="16">
        <v>10</v>
      </c>
      <c r="G472" s="17">
        <f t="shared" si="148"/>
        <v>6</v>
      </c>
      <c r="H472" s="15">
        <v>20.253771</v>
      </c>
      <c r="I472" s="15">
        <v>28.465209000000002</v>
      </c>
      <c r="J472" s="15">
        <v>27.525255999999999</v>
      </c>
      <c r="K472" s="15">
        <v>0</v>
      </c>
      <c r="L472" s="15">
        <v>0.32168200000000002</v>
      </c>
      <c r="M472" s="17">
        <f t="shared" si="149"/>
        <v>0</v>
      </c>
      <c r="N472" s="15">
        <v>0.32168200000000002</v>
      </c>
      <c r="O472" s="18">
        <v>0</v>
      </c>
      <c r="P472" s="18">
        <v>0</v>
      </c>
      <c r="Q472" s="19">
        <f t="shared" si="150"/>
        <v>0</v>
      </c>
      <c r="R472" s="18"/>
      <c r="S472" s="20">
        <v>1269</v>
      </c>
    </row>
    <row r="473" spans="1:19" ht="15.75" x14ac:dyDescent="0.25">
      <c r="A473" s="22">
        <f t="shared" ref="A473:A475" si="151">+A472+1</f>
        <v>3</v>
      </c>
      <c r="B473" s="22" t="s">
        <v>948</v>
      </c>
      <c r="C473" s="13" t="s">
        <v>949</v>
      </c>
      <c r="D473" s="14">
        <v>45473</v>
      </c>
      <c r="E473" s="15">
        <v>34</v>
      </c>
      <c r="F473" s="16">
        <v>10</v>
      </c>
      <c r="G473" s="17">
        <f t="shared" si="148"/>
        <v>3.4</v>
      </c>
      <c r="H473" s="15">
        <v>-328.37679900000001</v>
      </c>
      <c r="I473" s="15">
        <v>99.558462000000006</v>
      </c>
      <c r="J473" s="15">
        <v>89.394744000000003</v>
      </c>
      <c r="K473" s="15">
        <v>0.78559999999999997</v>
      </c>
      <c r="L473" s="15">
        <v>10.93999</v>
      </c>
      <c r="M473" s="17">
        <f t="shared" si="149"/>
        <v>2.8132699999999993</v>
      </c>
      <c r="N473" s="15">
        <v>8.1267200000000006</v>
      </c>
      <c r="O473" s="18">
        <v>0</v>
      </c>
      <c r="P473" s="18">
        <v>0</v>
      </c>
      <c r="Q473" s="19">
        <f t="shared" si="150"/>
        <v>0</v>
      </c>
      <c r="R473" s="18"/>
      <c r="S473" s="20">
        <v>504</v>
      </c>
    </row>
    <row r="474" spans="1:19" ht="15.75" x14ac:dyDescent="0.25">
      <c r="A474" s="22">
        <f t="shared" si="151"/>
        <v>4</v>
      </c>
      <c r="B474" s="22" t="s">
        <v>950</v>
      </c>
      <c r="C474" s="13" t="s">
        <v>951</v>
      </c>
      <c r="D474" s="14">
        <v>45657</v>
      </c>
      <c r="E474" s="15"/>
      <c r="F474" s="16">
        <v>10</v>
      </c>
      <c r="G474" s="17">
        <f t="shared" si="148"/>
        <v>0</v>
      </c>
      <c r="H474" s="15"/>
      <c r="I474" s="15"/>
      <c r="J474" s="15"/>
      <c r="K474" s="15"/>
      <c r="L474" s="15"/>
      <c r="M474" s="17">
        <f t="shared" si="149"/>
        <v>0</v>
      </c>
      <c r="N474" s="15"/>
      <c r="O474" s="18"/>
      <c r="P474" s="18"/>
      <c r="Q474" s="19">
        <f t="shared" si="150"/>
        <v>0</v>
      </c>
      <c r="R474" s="18"/>
      <c r="S474" s="20"/>
    </row>
    <row r="475" spans="1:19" ht="15.75" x14ac:dyDescent="0.25">
      <c r="A475" s="22">
        <f t="shared" si="151"/>
        <v>5</v>
      </c>
      <c r="B475" s="22" t="s">
        <v>952</v>
      </c>
      <c r="C475" s="13" t="s">
        <v>953</v>
      </c>
      <c r="D475" s="14">
        <v>45657</v>
      </c>
      <c r="E475" s="15"/>
      <c r="F475" s="16">
        <v>10</v>
      </c>
      <c r="G475" s="17">
        <f t="shared" si="148"/>
        <v>0</v>
      </c>
      <c r="H475" s="15"/>
      <c r="I475" s="15"/>
      <c r="J475" s="15"/>
      <c r="K475" s="15"/>
      <c r="L475" s="15"/>
      <c r="M475" s="17">
        <f t="shared" si="149"/>
        <v>0</v>
      </c>
      <c r="N475" s="15"/>
      <c r="O475" s="18"/>
      <c r="P475" s="18"/>
      <c r="Q475" s="19">
        <f t="shared" si="150"/>
        <v>0</v>
      </c>
      <c r="R475" s="18"/>
      <c r="S475" s="20"/>
    </row>
    <row r="476" spans="1:19" ht="15.75" x14ac:dyDescent="0.25">
      <c r="A476" s="22">
        <v>1</v>
      </c>
      <c r="B476" s="22" t="s">
        <v>954</v>
      </c>
      <c r="C476" s="13" t="s">
        <v>955</v>
      </c>
      <c r="D476" s="14">
        <v>45473</v>
      </c>
      <c r="E476" s="15">
        <v>20</v>
      </c>
      <c r="F476" s="16">
        <v>10</v>
      </c>
      <c r="G476" s="17">
        <f t="shared" si="148"/>
        <v>2</v>
      </c>
      <c r="H476" s="15">
        <v>-90.720578000000003</v>
      </c>
      <c r="I476" s="15">
        <v>67.101141999999996</v>
      </c>
      <c r="J476" s="15">
        <v>13.659272</v>
      </c>
      <c r="K476" s="15">
        <v>6.2570000000000004E-3</v>
      </c>
      <c r="L476" s="15">
        <v>-1.4083380000000001</v>
      </c>
      <c r="M476" s="17">
        <f t="shared" si="149"/>
        <v>0.52365299999999992</v>
      </c>
      <c r="N476" s="15">
        <v>-1.931991</v>
      </c>
      <c r="O476" s="18">
        <v>0</v>
      </c>
      <c r="P476" s="18">
        <v>0</v>
      </c>
      <c r="Q476" s="19">
        <f t="shared" si="150"/>
        <v>0</v>
      </c>
      <c r="R476" s="18"/>
      <c r="S476" s="20">
        <v>123</v>
      </c>
    </row>
    <row r="477" spans="1:19" ht="15.75" x14ac:dyDescent="0.25">
      <c r="A477" s="12">
        <v>1</v>
      </c>
      <c r="B477" s="12" t="s">
        <v>956</v>
      </c>
      <c r="C477" s="13" t="s">
        <v>957</v>
      </c>
      <c r="D477" s="14">
        <v>45473</v>
      </c>
      <c r="E477" s="15">
        <v>2989.0578599999999</v>
      </c>
      <c r="F477" s="16">
        <v>10</v>
      </c>
      <c r="G477" s="17">
        <f t="shared" ref="G477" si="152">+E477/F477</f>
        <v>298.90578599999998</v>
      </c>
      <c r="H477" s="15">
        <v>5341.352414</v>
      </c>
      <c r="I477" s="15">
        <v>10337.035615000001</v>
      </c>
      <c r="J477" s="15">
        <v>7209.8679099999999</v>
      </c>
      <c r="K477" s="15">
        <v>344.14648999999997</v>
      </c>
      <c r="L477" s="15">
        <v>841.59727699999996</v>
      </c>
      <c r="M477" s="17">
        <f t="shared" ref="M477" si="153">+L477-N477</f>
        <v>3.3885379999999259</v>
      </c>
      <c r="N477" s="15">
        <v>838.20873900000004</v>
      </c>
      <c r="O477" s="18">
        <v>0</v>
      </c>
      <c r="P477" s="18">
        <v>0</v>
      </c>
      <c r="Q477" s="19">
        <f t="shared" ref="Q477" si="154">SUM(O477:P477)</f>
        <v>0</v>
      </c>
      <c r="R477" s="18"/>
      <c r="S477" s="20">
        <v>7</v>
      </c>
    </row>
    <row r="478" spans="1:19" ht="15.75" x14ac:dyDescent="0.25">
      <c r="A478" s="12">
        <f t="shared" ref="A478:A500" si="155">+A477+1</f>
        <v>2</v>
      </c>
      <c r="B478" s="22" t="s">
        <v>958</v>
      </c>
      <c r="C478" s="21" t="s">
        <v>959</v>
      </c>
      <c r="D478" s="14">
        <v>45473</v>
      </c>
      <c r="E478" s="15">
        <v>668.05269999999996</v>
      </c>
      <c r="F478" s="16">
        <v>10</v>
      </c>
      <c r="G478" s="17">
        <f>+E478/F478</f>
        <v>66.805269999999993</v>
      </c>
      <c r="H478" s="15">
        <v>1826.192254</v>
      </c>
      <c r="I478" s="15">
        <v>4142.1437960000003</v>
      </c>
      <c r="J478" s="15">
        <v>7009.2677739999999</v>
      </c>
      <c r="K478" s="15">
        <v>271.85014200000001</v>
      </c>
      <c r="L478" s="15">
        <v>-92.730497999999997</v>
      </c>
      <c r="M478" s="17">
        <f>+L478-N478</f>
        <v>15.398769000000001</v>
      </c>
      <c r="N478" s="15">
        <v>-108.129267</v>
      </c>
      <c r="O478" s="18">
        <v>0</v>
      </c>
      <c r="P478" s="18">
        <v>0</v>
      </c>
      <c r="Q478" s="19">
        <f>SUM(O478:P478)</f>
        <v>0</v>
      </c>
      <c r="R478" s="18"/>
      <c r="S478" s="20">
        <v>2879</v>
      </c>
    </row>
    <row r="479" spans="1:19" ht="15.75" x14ac:dyDescent="0.25">
      <c r="A479" s="12">
        <f t="shared" si="155"/>
        <v>3</v>
      </c>
      <c r="B479" s="12" t="s">
        <v>960</v>
      </c>
      <c r="C479" s="13" t="s">
        <v>961</v>
      </c>
      <c r="D479" s="14">
        <v>45473</v>
      </c>
      <c r="E479" s="15">
        <v>311.43059</v>
      </c>
      <c r="F479" s="16">
        <v>10</v>
      </c>
      <c r="G479" s="17">
        <f t="shared" ref="G479:G500" si="156">+E479/F479</f>
        <v>31.143059000000001</v>
      </c>
      <c r="H479" s="15">
        <v>278.51299999999998</v>
      </c>
      <c r="I479" s="15">
        <v>328.43700000000001</v>
      </c>
      <c r="J479" s="15">
        <v>1812.3019999999999</v>
      </c>
      <c r="K479" s="15">
        <v>5.0000000000000001E-3</v>
      </c>
      <c r="L479" s="15">
        <v>185.67500000000001</v>
      </c>
      <c r="M479" s="17">
        <f t="shared" ref="M479:M500" si="157">+L479-N479</f>
        <v>-6.650999999999982</v>
      </c>
      <c r="N479" s="15">
        <v>192.32599999999999</v>
      </c>
      <c r="O479" s="18">
        <v>0</v>
      </c>
      <c r="P479" s="18">
        <v>0</v>
      </c>
      <c r="Q479" s="19">
        <f t="shared" ref="Q479:Q500" si="158">SUM(O479:P479)</f>
        <v>0</v>
      </c>
      <c r="R479" s="18"/>
      <c r="S479" s="20">
        <v>2287</v>
      </c>
    </row>
    <row r="480" spans="1:19" ht="15.75" x14ac:dyDescent="0.25">
      <c r="A480" s="12">
        <f t="shared" si="155"/>
        <v>4</v>
      </c>
      <c r="B480" s="22" t="s">
        <v>962</v>
      </c>
      <c r="C480" s="13" t="s">
        <v>963</v>
      </c>
      <c r="D480" s="14">
        <v>45473</v>
      </c>
      <c r="E480" s="15">
        <v>2427.73288</v>
      </c>
      <c r="F480" s="16">
        <v>10</v>
      </c>
      <c r="G480" s="17">
        <f>+E480/F480</f>
        <v>242.77328800000001</v>
      </c>
      <c r="H480" s="15">
        <v>34889.910000000003</v>
      </c>
      <c r="I480" s="15">
        <v>56661.966</v>
      </c>
      <c r="J480" s="15">
        <v>113230.777</v>
      </c>
      <c r="K480" s="15">
        <v>165.476</v>
      </c>
      <c r="L480" s="15">
        <v>26718.534</v>
      </c>
      <c r="M480" s="17">
        <f>+L480-N480</f>
        <v>9426.3040000000001</v>
      </c>
      <c r="N480" s="15">
        <v>17292.23</v>
      </c>
      <c r="O480" s="18">
        <f>225+345</f>
        <v>570</v>
      </c>
      <c r="P480" s="18">
        <v>0</v>
      </c>
      <c r="Q480" s="19">
        <f>SUM(O480:P480)</f>
        <v>570</v>
      </c>
      <c r="R480" s="18"/>
      <c r="S480" s="20">
        <v>4518</v>
      </c>
    </row>
    <row r="481" spans="1:19" ht="15.75" x14ac:dyDescent="0.25">
      <c r="A481" s="12">
        <f t="shared" si="155"/>
        <v>5</v>
      </c>
      <c r="B481" s="12" t="s">
        <v>964</v>
      </c>
      <c r="C481" s="13" t="s">
        <v>965</v>
      </c>
      <c r="D481" s="14">
        <v>45657</v>
      </c>
      <c r="E481" s="15"/>
      <c r="F481" s="16">
        <v>10</v>
      </c>
      <c r="G481" s="17">
        <f t="shared" si="156"/>
        <v>0</v>
      </c>
      <c r="H481" s="15"/>
      <c r="I481" s="15"/>
      <c r="J481" s="15"/>
      <c r="K481" s="15"/>
      <c r="L481" s="15"/>
      <c r="M481" s="17">
        <f t="shared" si="157"/>
        <v>0</v>
      </c>
      <c r="N481" s="15"/>
      <c r="O481" s="18"/>
      <c r="P481" s="18"/>
      <c r="Q481" s="19">
        <f t="shared" si="158"/>
        <v>0</v>
      </c>
      <c r="R481" s="18"/>
      <c r="S481" s="20"/>
    </row>
    <row r="482" spans="1:19" ht="15.75" x14ac:dyDescent="0.25">
      <c r="A482" s="12">
        <f t="shared" si="155"/>
        <v>6</v>
      </c>
      <c r="B482" s="12" t="s">
        <v>966</v>
      </c>
      <c r="C482" s="13" t="s">
        <v>967</v>
      </c>
      <c r="D482" s="14">
        <v>45657</v>
      </c>
      <c r="E482" s="15"/>
      <c r="F482" s="16">
        <v>10</v>
      </c>
      <c r="G482" s="17">
        <f t="shared" si="156"/>
        <v>0</v>
      </c>
      <c r="H482" s="15"/>
      <c r="I482" s="15"/>
      <c r="J482" s="15"/>
      <c r="K482" s="15"/>
      <c r="L482" s="15"/>
      <c r="M482" s="17">
        <f t="shared" si="157"/>
        <v>0</v>
      </c>
      <c r="N482" s="15"/>
      <c r="O482" s="18"/>
      <c r="P482" s="18"/>
      <c r="Q482" s="19">
        <f t="shared" si="158"/>
        <v>0</v>
      </c>
      <c r="R482" s="18"/>
      <c r="S482" s="20"/>
    </row>
    <row r="483" spans="1:19" ht="15.75" x14ac:dyDescent="0.25">
      <c r="A483" s="12">
        <f t="shared" si="155"/>
        <v>7</v>
      </c>
      <c r="B483" s="12" t="s">
        <v>968</v>
      </c>
      <c r="C483" s="13" t="s">
        <v>969</v>
      </c>
      <c r="D483" s="14">
        <v>45473</v>
      </c>
      <c r="E483" s="15">
        <v>3</v>
      </c>
      <c r="F483" s="16">
        <v>10</v>
      </c>
      <c r="G483" s="17">
        <f t="shared" si="156"/>
        <v>0.3</v>
      </c>
      <c r="H483" s="15">
        <v>1007.509994</v>
      </c>
      <c r="I483" s="15">
        <v>1093.5352370000001</v>
      </c>
      <c r="J483" s="15">
        <v>2166.9533510000001</v>
      </c>
      <c r="K483" s="15">
        <v>1.7198000000000001E-2</v>
      </c>
      <c r="L483" s="15">
        <v>4.7084489999999999</v>
      </c>
      <c r="M483" s="17">
        <f t="shared" si="157"/>
        <v>1.4447950000000001</v>
      </c>
      <c r="N483" s="15">
        <v>3.2636539999999998</v>
      </c>
      <c r="O483" s="18">
        <v>30</v>
      </c>
      <c r="P483" s="18">
        <v>0</v>
      </c>
      <c r="Q483" s="19">
        <f t="shared" si="158"/>
        <v>30</v>
      </c>
      <c r="R483" s="18"/>
      <c r="S483" s="20">
        <v>79</v>
      </c>
    </row>
    <row r="484" spans="1:19" ht="15.75" x14ac:dyDescent="0.25">
      <c r="A484" s="12">
        <f t="shared" si="155"/>
        <v>8</v>
      </c>
      <c r="B484" s="22" t="s">
        <v>970</v>
      </c>
      <c r="C484" s="13" t="s">
        <v>971</v>
      </c>
      <c r="D484" s="14">
        <v>45473</v>
      </c>
      <c r="E484" s="15">
        <v>318.72000000000003</v>
      </c>
      <c r="F484" s="16">
        <v>10</v>
      </c>
      <c r="G484" s="17">
        <f t="shared" si="156"/>
        <v>31.872000000000003</v>
      </c>
      <c r="H484" s="15">
        <v>1118.99</v>
      </c>
      <c r="I484" s="15">
        <v>2880.4070000000002</v>
      </c>
      <c r="J484" s="15">
        <v>1502.01</v>
      </c>
      <c r="K484" s="15">
        <v>1.837</v>
      </c>
      <c r="L484" s="15">
        <v>86.281999999999996</v>
      </c>
      <c r="M484" s="17">
        <f t="shared" si="157"/>
        <v>-15.701999999999998</v>
      </c>
      <c r="N484" s="15">
        <v>101.98399999999999</v>
      </c>
      <c r="O484" s="18">
        <v>0</v>
      </c>
      <c r="P484" s="18">
        <v>0</v>
      </c>
      <c r="Q484" s="19">
        <f t="shared" si="158"/>
        <v>0</v>
      </c>
      <c r="R484" s="18"/>
      <c r="S484" s="20">
        <v>1003</v>
      </c>
    </row>
    <row r="485" spans="1:19" ht="15.75" x14ac:dyDescent="0.25">
      <c r="A485" s="12">
        <f t="shared" si="155"/>
        <v>9</v>
      </c>
      <c r="B485" s="12" t="s">
        <v>972</v>
      </c>
      <c r="C485" s="13" t="s">
        <v>973</v>
      </c>
      <c r="D485" s="14">
        <v>45473</v>
      </c>
      <c r="E485" s="15">
        <v>663.56939999999997</v>
      </c>
      <c r="F485" s="16">
        <v>10</v>
      </c>
      <c r="G485" s="17">
        <f t="shared" si="156"/>
        <v>66.356939999999994</v>
      </c>
      <c r="H485" s="15">
        <v>24208.886330000001</v>
      </c>
      <c r="I485" s="15">
        <v>90916.664206000001</v>
      </c>
      <c r="J485" s="15">
        <v>108887.02439000001</v>
      </c>
      <c r="K485" s="15">
        <v>7384.1154729999998</v>
      </c>
      <c r="L485" s="15">
        <v>7676.4605540000002</v>
      </c>
      <c r="M485" s="17">
        <f t="shared" si="157"/>
        <v>1544.4110270000001</v>
      </c>
      <c r="N485" s="15">
        <v>6132.0495270000001</v>
      </c>
      <c r="O485" s="18">
        <v>100</v>
      </c>
      <c r="P485" s="18">
        <v>0</v>
      </c>
      <c r="Q485" s="19">
        <f t="shared" si="158"/>
        <v>100</v>
      </c>
      <c r="R485" s="18"/>
      <c r="S485" s="20">
        <v>1588</v>
      </c>
    </row>
    <row r="486" spans="1:19" ht="15.75" x14ac:dyDescent="0.25">
      <c r="A486" s="12">
        <f t="shared" si="155"/>
        <v>10</v>
      </c>
      <c r="B486" s="12" t="s">
        <v>974</v>
      </c>
      <c r="C486" s="13" t="s">
        <v>975</v>
      </c>
      <c r="D486" s="14">
        <v>45473</v>
      </c>
      <c r="E486" s="15">
        <v>228.75</v>
      </c>
      <c r="F486" s="16">
        <v>10</v>
      </c>
      <c r="G486" s="17">
        <f t="shared" si="156"/>
        <v>22.875</v>
      </c>
      <c r="H486" s="15">
        <v>592.65940599999999</v>
      </c>
      <c r="I486" s="15">
        <v>1711.647475</v>
      </c>
      <c r="J486" s="15">
        <v>2642.1638109999999</v>
      </c>
      <c r="K486" s="15">
        <v>96.186801000000003</v>
      </c>
      <c r="L486" s="15">
        <v>459.23569900000001</v>
      </c>
      <c r="M486" s="17">
        <f t="shared" si="157"/>
        <v>2.9934830000000261</v>
      </c>
      <c r="N486" s="15">
        <v>456.24221599999998</v>
      </c>
      <c r="O486" s="18">
        <v>0</v>
      </c>
      <c r="P486" s="18">
        <v>0</v>
      </c>
      <c r="Q486" s="19">
        <f t="shared" si="158"/>
        <v>0</v>
      </c>
      <c r="R486" s="18"/>
      <c r="S486" s="20">
        <v>1833</v>
      </c>
    </row>
    <row r="487" spans="1:19" ht="15.75" x14ac:dyDescent="0.25">
      <c r="A487" s="12">
        <f t="shared" si="155"/>
        <v>11</v>
      </c>
      <c r="B487" s="12" t="s">
        <v>976</v>
      </c>
      <c r="C487" s="13" t="s">
        <v>977</v>
      </c>
      <c r="D487" s="14">
        <v>45565</v>
      </c>
      <c r="E487" s="15">
        <v>1224.0069800000001</v>
      </c>
      <c r="F487" s="16">
        <v>10</v>
      </c>
      <c r="G487" s="17">
        <f t="shared" si="156"/>
        <v>122.40069800000001</v>
      </c>
      <c r="H487" s="15">
        <v>9987.6218599999993</v>
      </c>
      <c r="I487" s="15">
        <v>27539.074997</v>
      </c>
      <c r="J487" s="15">
        <v>27695.667805000001</v>
      </c>
      <c r="K487" s="15">
        <v>2243.8770300000001</v>
      </c>
      <c r="L487" s="15">
        <v>-68.314773000000002</v>
      </c>
      <c r="M487" s="17">
        <f t="shared" si="157"/>
        <v>194.15110299999998</v>
      </c>
      <c r="N487" s="15">
        <v>-262.46587599999998</v>
      </c>
      <c r="O487" s="18">
        <v>0</v>
      </c>
      <c r="P487" s="18">
        <v>0</v>
      </c>
      <c r="Q487" s="19">
        <f t="shared" si="158"/>
        <v>0</v>
      </c>
      <c r="R487" s="18"/>
      <c r="S487" s="20">
        <v>1960</v>
      </c>
    </row>
    <row r="488" spans="1:19" ht="15.75" x14ac:dyDescent="0.25">
      <c r="A488" s="12">
        <f t="shared" si="155"/>
        <v>12</v>
      </c>
      <c r="B488" s="22" t="s">
        <v>978</v>
      </c>
      <c r="C488" s="13" t="s">
        <v>979</v>
      </c>
      <c r="D488" s="14">
        <v>45473</v>
      </c>
      <c r="E488" s="15">
        <f>27.663631*F488</f>
        <v>276.63630999999998</v>
      </c>
      <c r="F488" s="16">
        <v>10</v>
      </c>
      <c r="G488" s="17">
        <f t="shared" si="156"/>
        <v>27.663630999999999</v>
      </c>
      <c r="H488" s="15">
        <v>15131.257</v>
      </c>
      <c r="I488" s="15">
        <v>19829.763999999999</v>
      </c>
      <c r="J488" s="15">
        <v>23798.243999999999</v>
      </c>
      <c r="K488" s="15">
        <v>9.89</v>
      </c>
      <c r="L488" s="15">
        <v>4070.201</v>
      </c>
      <c r="M488" s="17">
        <f t="shared" si="157"/>
        <v>1448.846</v>
      </c>
      <c r="N488" s="15">
        <v>2621.355</v>
      </c>
      <c r="O488" s="18">
        <f>75+80+100+150</f>
        <v>405</v>
      </c>
      <c r="P488" s="18">
        <v>0</v>
      </c>
      <c r="Q488" s="19">
        <f t="shared" si="158"/>
        <v>405</v>
      </c>
      <c r="R488" s="18"/>
      <c r="S488" s="20">
        <v>1307</v>
      </c>
    </row>
    <row r="489" spans="1:19" ht="15.75" x14ac:dyDescent="0.25">
      <c r="A489" s="12">
        <f t="shared" si="155"/>
        <v>13</v>
      </c>
      <c r="B489" s="12" t="s">
        <v>980</v>
      </c>
      <c r="C489" s="13" t="s">
        <v>981</v>
      </c>
      <c r="D489" s="14">
        <v>45473</v>
      </c>
      <c r="E489" s="15">
        <v>1165.5762500000001</v>
      </c>
      <c r="F489" s="16">
        <v>5</v>
      </c>
      <c r="G489" s="17">
        <f t="shared" si="156"/>
        <v>233.11525</v>
      </c>
      <c r="H489" s="15">
        <v>7593.8710000000001</v>
      </c>
      <c r="I489" s="15">
        <v>27146.77</v>
      </c>
      <c r="J489" s="15">
        <v>37377.245000000003</v>
      </c>
      <c r="K489" s="15">
        <v>1567.732</v>
      </c>
      <c r="L489" s="15">
        <v>1127.47</v>
      </c>
      <c r="M489" s="17">
        <f t="shared" si="157"/>
        <v>-141.09799999999996</v>
      </c>
      <c r="N489" s="15">
        <v>1268.568</v>
      </c>
      <c r="O489" s="18">
        <f>30+100</f>
        <v>130</v>
      </c>
      <c r="P489" s="18">
        <v>0</v>
      </c>
      <c r="Q489" s="19">
        <f t="shared" si="158"/>
        <v>130</v>
      </c>
      <c r="R489" s="18"/>
      <c r="S489" s="20">
        <v>3737</v>
      </c>
    </row>
    <row r="490" spans="1:19" ht="15.75" x14ac:dyDescent="0.25">
      <c r="A490" s="12">
        <f t="shared" si="155"/>
        <v>14</v>
      </c>
      <c r="B490" s="12" t="s">
        <v>982</v>
      </c>
      <c r="C490" s="13" t="s">
        <v>983</v>
      </c>
      <c r="D490" s="14">
        <v>45657</v>
      </c>
      <c r="E490" s="15">
        <v>453.49551000000002</v>
      </c>
      <c r="F490" s="16">
        <v>10</v>
      </c>
      <c r="G490" s="17">
        <f t="shared" si="156"/>
        <v>45.349551000000005</v>
      </c>
      <c r="H490" s="15"/>
      <c r="I490" s="15"/>
      <c r="J490" s="15"/>
      <c r="K490" s="15"/>
      <c r="L490" s="15"/>
      <c r="M490" s="17">
        <f t="shared" si="157"/>
        <v>0</v>
      </c>
      <c r="N490" s="15"/>
      <c r="O490" s="18">
        <f>1110+250</f>
        <v>1360</v>
      </c>
      <c r="P490" s="18"/>
      <c r="Q490" s="19">
        <f t="shared" si="158"/>
        <v>1360</v>
      </c>
      <c r="R490" s="18"/>
      <c r="S490" s="20"/>
    </row>
    <row r="491" spans="1:19" ht="15.75" x14ac:dyDescent="0.25">
      <c r="A491" s="12">
        <f t="shared" si="155"/>
        <v>15</v>
      </c>
      <c r="B491" s="12" t="s">
        <v>984</v>
      </c>
      <c r="C491" s="13" t="s">
        <v>985</v>
      </c>
      <c r="D491" s="14">
        <v>45473</v>
      </c>
      <c r="E491" s="15">
        <v>2186.3942999999999</v>
      </c>
      <c r="F491" s="16">
        <v>10</v>
      </c>
      <c r="G491" s="17">
        <f t="shared" si="156"/>
        <v>218.63943</v>
      </c>
      <c r="H491" s="15">
        <v>5174.4840000000004</v>
      </c>
      <c r="I491" s="15">
        <v>7605.9030000000002</v>
      </c>
      <c r="J491" s="15">
        <v>10562.441999999999</v>
      </c>
      <c r="K491" s="15">
        <v>282.54000000000002</v>
      </c>
      <c r="L491" s="15">
        <v>481.24099999999999</v>
      </c>
      <c r="M491" s="17">
        <f t="shared" si="157"/>
        <v>128.00799999999998</v>
      </c>
      <c r="N491" s="15">
        <v>353.233</v>
      </c>
      <c r="O491" s="18">
        <v>0</v>
      </c>
      <c r="P491" s="18">
        <v>0</v>
      </c>
      <c r="Q491" s="19">
        <f t="shared" si="158"/>
        <v>0</v>
      </c>
      <c r="R491" s="18"/>
      <c r="S491" s="20">
        <v>2380</v>
      </c>
    </row>
    <row r="492" spans="1:19" ht="15.75" x14ac:dyDescent="0.25">
      <c r="A492" s="12">
        <f t="shared" si="155"/>
        <v>16</v>
      </c>
      <c r="B492" s="12" t="s">
        <v>986</v>
      </c>
      <c r="C492" s="13" t="s">
        <v>987</v>
      </c>
      <c r="D492" s="14">
        <v>45473</v>
      </c>
      <c r="E492" s="15">
        <v>984.61828000000003</v>
      </c>
      <c r="F492" s="16">
        <v>10</v>
      </c>
      <c r="G492" s="17">
        <f t="shared" si="156"/>
        <v>98.461827999999997</v>
      </c>
      <c r="H492" s="15">
        <v>446.71380299999998</v>
      </c>
      <c r="I492" s="15">
        <v>1274.1881519999999</v>
      </c>
      <c r="J492" s="15">
        <v>903.25493500000005</v>
      </c>
      <c r="K492" s="15">
        <v>0.128223</v>
      </c>
      <c r="L492" s="15">
        <v>-27.144988000000001</v>
      </c>
      <c r="M492" s="17">
        <f t="shared" si="157"/>
        <v>0</v>
      </c>
      <c r="N492" s="15">
        <v>-27.144988000000001</v>
      </c>
      <c r="O492" s="18">
        <v>0</v>
      </c>
      <c r="P492" s="18">
        <v>0</v>
      </c>
      <c r="Q492" s="19">
        <f t="shared" si="158"/>
        <v>0</v>
      </c>
      <c r="R492" s="18"/>
      <c r="S492" s="20">
        <v>4278</v>
      </c>
    </row>
    <row r="493" spans="1:19" ht="15.75" x14ac:dyDescent="0.25">
      <c r="A493" s="12">
        <f t="shared" si="155"/>
        <v>17</v>
      </c>
      <c r="B493" s="12" t="s">
        <v>988</v>
      </c>
      <c r="C493" s="13" t="s">
        <v>989</v>
      </c>
      <c r="D493" s="14">
        <v>45657</v>
      </c>
      <c r="E493" s="15">
        <v>92.364000000000004</v>
      </c>
      <c r="F493" s="16">
        <v>10</v>
      </c>
      <c r="G493" s="17">
        <f t="shared" si="156"/>
        <v>9.2363999999999997</v>
      </c>
      <c r="H493" s="15"/>
      <c r="I493" s="15"/>
      <c r="J493" s="15"/>
      <c r="K493" s="15"/>
      <c r="L493" s="15"/>
      <c r="M493" s="17">
        <f t="shared" si="157"/>
        <v>0</v>
      </c>
      <c r="N493" s="15"/>
      <c r="O493" s="18">
        <f>750+1000+1000</f>
        <v>2750</v>
      </c>
      <c r="P493" s="18"/>
      <c r="Q493" s="19">
        <f t="shared" si="158"/>
        <v>2750</v>
      </c>
      <c r="R493" s="18"/>
      <c r="S493" s="20"/>
    </row>
    <row r="494" spans="1:19" ht="15.75" x14ac:dyDescent="0.25">
      <c r="A494" s="12">
        <f t="shared" si="155"/>
        <v>18</v>
      </c>
      <c r="B494" s="22" t="s">
        <v>990</v>
      </c>
      <c r="C494" s="13" t="s">
        <v>991</v>
      </c>
      <c r="D494" s="14">
        <v>45473</v>
      </c>
      <c r="E494" s="15">
        <v>39</v>
      </c>
      <c r="F494" s="16">
        <v>10</v>
      </c>
      <c r="G494" s="17">
        <f t="shared" si="156"/>
        <v>3.9</v>
      </c>
      <c r="H494" s="15">
        <v>636.24450100000001</v>
      </c>
      <c r="I494" s="15">
        <v>2731.3023710000002</v>
      </c>
      <c r="J494" s="15">
        <v>3867.1213889999999</v>
      </c>
      <c r="K494" s="15">
        <v>300.97055599999999</v>
      </c>
      <c r="L494" s="15">
        <v>-418.02602000000002</v>
      </c>
      <c r="M494" s="17">
        <f t="shared" si="157"/>
        <v>-55.346632999999997</v>
      </c>
      <c r="N494" s="15">
        <v>-362.67938700000002</v>
      </c>
      <c r="O494" s="18">
        <v>0</v>
      </c>
      <c r="P494" s="18">
        <v>0</v>
      </c>
      <c r="Q494" s="19">
        <f t="shared" si="158"/>
        <v>0</v>
      </c>
      <c r="R494" s="18"/>
      <c r="S494" s="20">
        <v>366</v>
      </c>
    </row>
    <row r="495" spans="1:19" ht="15.75" x14ac:dyDescent="0.25">
      <c r="A495" s="12">
        <f t="shared" si="155"/>
        <v>19</v>
      </c>
      <c r="B495" s="22" t="s">
        <v>992</v>
      </c>
      <c r="C495" s="13" t="s">
        <v>993</v>
      </c>
      <c r="D495" s="14">
        <v>45473</v>
      </c>
      <c r="E495" s="15">
        <v>96.630600000000001</v>
      </c>
      <c r="F495" s="16">
        <v>10</v>
      </c>
      <c r="G495" s="17">
        <f t="shared" si="156"/>
        <v>9.6630599999999998</v>
      </c>
      <c r="H495" s="15">
        <v>1408.2829999999999</v>
      </c>
      <c r="I495" s="15">
        <v>4209.4210000000003</v>
      </c>
      <c r="J495" s="15">
        <v>8154.9709999999995</v>
      </c>
      <c r="K495" s="15">
        <v>332.072</v>
      </c>
      <c r="L495" s="15">
        <v>-467.089</v>
      </c>
      <c r="M495" s="17">
        <f t="shared" si="157"/>
        <v>-4.2799999999999727</v>
      </c>
      <c r="N495" s="15">
        <v>-462.80900000000003</v>
      </c>
      <c r="O495" s="18">
        <v>0</v>
      </c>
      <c r="P495" s="18">
        <v>0</v>
      </c>
      <c r="Q495" s="19">
        <f t="shared" si="158"/>
        <v>0</v>
      </c>
      <c r="R495" s="18"/>
      <c r="S495" s="20">
        <v>955</v>
      </c>
    </row>
    <row r="496" spans="1:19" ht="15.75" x14ac:dyDescent="0.25">
      <c r="A496" s="12">
        <f t="shared" si="155"/>
        <v>20</v>
      </c>
      <c r="B496" s="22" t="s">
        <v>994</v>
      </c>
      <c r="C496" s="13" t="s">
        <v>995</v>
      </c>
      <c r="D496" s="14">
        <v>45473</v>
      </c>
      <c r="E496" s="15">
        <v>1484.9121319999999</v>
      </c>
      <c r="F496" s="16">
        <v>10</v>
      </c>
      <c r="G496" s="17">
        <f t="shared" si="156"/>
        <v>148.4912132</v>
      </c>
      <c r="H496" s="15">
        <v>4944.2221740000005</v>
      </c>
      <c r="I496" s="15">
        <v>6237.5445570000002</v>
      </c>
      <c r="J496" s="15">
        <v>11797.754504</v>
      </c>
      <c r="K496" s="15">
        <v>231.48654500000001</v>
      </c>
      <c r="L496" s="15">
        <v>483.45181500000001</v>
      </c>
      <c r="M496" s="17">
        <f t="shared" si="157"/>
        <v>-13.921489000000008</v>
      </c>
      <c r="N496" s="15">
        <v>497.37330400000002</v>
      </c>
      <c r="O496" s="18">
        <v>0</v>
      </c>
      <c r="P496" s="18">
        <v>0</v>
      </c>
      <c r="Q496" s="19">
        <f t="shared" ref="Q496" si="159">SUM(O496:P496)</f>
        <v>0</v>
      </c>
      <c r="R496" s="18"/>
      <c r="S496" s="20">
        <v>3773</v>
      </c>
    </row>
    <row r="497" spans="1:19" ht="15.75" x14ac:dyDescent="0.25">
      <c r="A497" s="12">
        <f t="shared" si="155"/>
        <v>21</v>
      </c>
      <c r="B497" s="22" t="s">
        <v>996</v>
      </c>
      <c r="C497" s="13" t="s">
        <v>997</v>
      </c>
      <c r="D497" s="14">
        <v>45473</v>
      </c>
      <c r="E497" s="15">
        <v>3710.2881400000001</v>
      </c>
      <c r="F497" s="16">
        <v>10</v>
      </c>
      <c r="G497" s="17">
        <f t="shared" si="156"/>
        <v>371.02881400000001</v>
      </c>
      <c r="H497" s="15">
        <v>18453.939999999999</v>
      </c>
      <c r="I497" s="15">
        <f>20400.507+9416.717</f>
        <v>29817.224000000002</v>
      </c>
      <c r="J497" s="15">
        <v>10935.370999999999</v>
      </c>
      <c r="K497" s="15">
        <v>1881.45</v>
      </c>
      <c r="L497" s="15">
        <v>-226.465</v>
      </c>
      <c r="M497" s="17">
        <f t="shared" si="157"/>
        <v>-37.316000000000003</v>
      </c>
      <c r="N497" s="15">
        <v>-189.149</v>
      </c>
      <c r="O497" s="18">
        <v>0</v>
      </c>
      <c r="P497" s="18">
        <v>0</v>
      </c>
      <c r="Q497" s="19">
        <f t="shared" si="158"/>
        <v>0</v>
      </c>
      <c r="R497" s="18"/>
      <c r="S497" s="20">
        <v>12050</v>
      </c>
    </row>
    <row r="498" spans="1:19" ht="15.75" x14ac:dyDescent="0.25">
      <c r="A498" s="12">
        <f t="shared" si="155"/>
        <v>22</v>
      </c>
      <c r="B498" s="12" t="s">
        <v>998</v>
      </c>
      <c r="C498" s="13" t="s">
        <v>999</v>
      </c>
      <c r="D498" s="14">
        <v>45657</v>
      </c>
      <c r="E498" s="15">
        <v>636.39319999999998</v>
      </c>
      <c r="F498" s="16">
        <v>10</v>
      </c>
      <c r="G498" s="17">
        <f t="shared" si="156"/>
        <v>63.639319999999998</v>
      </c>
      <c r="H498" s="15"/>
      <c r="I498" s="15"/>
      <c r="J498" s="15"/>
      <c r="K498" s="15"/>
      <c r="L498" s="15"/>
      <c r="M498" s="17">
        <f t="shared" si="157"/>
        <v>0</v>
      </c>
      <c r="N498" s="15"/>
      <c r="O498" s="18">
        <f>1430+6230+5110</f>
        <v>12770</v>
      </c>
      <c r="P498" s="18"/>
      <c r="Q498" s="19">
        <f t="shared" si="158"/>
        <v>12770</v>
      </c>
      <c r="R498" s="18"/>
      <c r="S498" s="20"/>
    </row>
    <row r="499" spans="1:19" ht="15.75" x14ac:dyDescent="0.25">
      <c r="A499" s="12">
        <f t="shared" si="155"/>
        <v>23</v>
      </c>
      <c r="B499" s="22" t="s">
        <v>1000</v>
      </c>
      <c r="C499" s="21" t="s">
        <v>1001</v>
      </c>
      <c r="D499" s="14">
        <v>45473</v>
      </c>
      <c r="E499" s="15">
        <v>11940.5</v>
      </c>
      <c r="F499" s="16">
        <v>10</v>
      </c>
      <c r="G499" s="17">
        <f>+E499/F499</f>
        <v>1194.05</v>
      </c>
      <c r="H499" s="15">
        <v>19191.357</v>
      </c>
      <c r="I499" s="15">
        <v>80156.710000000006</v>
      </c>
      <c r="J499" s="15">
        <v>60488.68</v>
      </c>
      <c r="K499" s="15">
        <v>6970.0029999999997</v>
      </c>
      <c r="L499" s="15">
        <v>-2726.4009999999998</v>
      </c>
      <c r="M499" s="17">
        <f>+L499-N499</f>
        <v>-193.75199999999995</v>
      </c>
      <c r="N499" s="15">
        <v>-2532.6489999999999</v>
      </c>
      <c r="O499" s="18">
        <v>0</v>
      </c>
      <c r="P499" s="18">
        <v>0</v>
      </c>
      <c r="Q499" s="19">
        <f>SUM(O499:P499)</f>
        <v>0</v>
      </c>
      <c r="R499" s="18"/>
      <c r="S499" s="20">
        <v>6347</v>
      </c>
    </row>
    <row r="500" spans="1:19" ht="15.75" x14ac:dyDescent="0.25">
      <c r="A500" s="12">
        <f t="shared" si="155"/>
        <v>24</v>
      </c>
      <c r="B500" s="22" t="s">
        <v>1002</v>
      </c>
      <c r="C500" s="13" t="s">
        <v>1003</v>
      </c>
      <c r="D500" s="14">
        <v>45657</v>
      </c>
      <c r="E500" s="15"/>
      <c r="F500" s="16">
        <v>10</v>
      </c>
      <c r="G500" s="17">
        <f t="shared" si="156"/>
        <v>0</v>
      </c>
      <c r="H500" s="15"/>
      <c r="I500" s="15"/>
      <c r="J500" s="15"/>
      <c r="K500" s="15"/>
      <c r="L500" s="15"/>
      <c r="M500" s="17">
        <f t="shared" si="157"/>
        <v>0</v>
      </c>
      <c r="N500" s="15"/>
      <c r="O500" s="18"/>
      <c r="P500" s="18"/>
      <c r="Q500" s="19">
        <f t="shared" si="158"/>
        <v>0</v>
      </c>
      <c r="R500" s="18"/>
      <c r="S500" s="20"/>
    </row>
    <row r="501" spans="1:19" ht="15.75" x14ac:dyDescent="0.25">
      <c r="A501" s="12">
        <v>1</v>
      </c>
      <c r="B501" s="12" t="s">
        <v>1004</v>
      </c>
      <c r="C501" s="13" t="s">
        <v>1005</v>
      </c>
      <c r="D501" s="14">
        <v>45473</v>
      </c>
      <c r="E501" s="15"/>
      <c r="F501" s="16">
        <v>10</v>
      </c>
      <c r="G501" s="17">
        <f>+E501/F501</f>
        <v>0</v>
      </c>
      <c r="H501" s="15"/>
      <c r="I501" s="15"/>
      <c r="J501" s="15"/>
      <c r="K501" s="15"/>
      <c r="L501" s="15"/>
      <c r="M501" s="17">
        <f>+L501-N501</f>
        <v>0</v>
      </c>
      <c r="N501" s="15"/>
      <c r="O501" s="18"/>
      <c r="P501" s="18"/>
      <c r="Q501" s="19">
        <f>SUM(O501:P501)</f>
        <v>0</v>
      </c>
      <c r="R501" s="18"/>
      <c r="S501" s="20"/>
    </row>
    <row r="502" spans="1:19" ht="15.75" x14ac:dyDescent="0.25">
      <c r="A502" s="12">
        <f>+A501+1</f>
        <v>2</v>
      </c>
      <c r="B502" s="22" t="s">
        <v>1006</v>
      </c>
      <c r="C502" s="13" t="s">
        <v>1007</v>
      </c>
      <c r="D502" s="14">
        <v>45473</v>
      </c>
      <c r="E502" s="15"/>
      <c r="F502" s="16">
        <v>10</v>
      </c>
      <c r="G502" s="17">
        <f>+E502/F502</f>
        <v>0</v>
      </c>
      <c r="H502" s="15"/>
      <c r="I502" s="15"/>
      <c r="J502" s="15"/>
      <c r="K502" s="15"/>
      <c r="L502" s="15"/>
      <c r="M502" s="17">
        <f>+L502-N502</f>
        <v>0</v>
      </c>
      <c r="N502" s="15"/>
      <c r="O502" s="18"/>
      <c r="P502" s="18"/>
      <c r="Q502" s="19">
        <f>SUM(O502:P502)</f>
        <v>0</v>
      </c>
      <c r="R502" s="18"/>
      <c r="S502" s="20"/>
    </row>
    <row r="503" spans="1:19" ht="15.75" x14ac:dyDescent="0.25">
      <c r="A503" s="12">
        <v>1</v>
      </c>
      <c r="B503" s="12" t="s">
        <v>1008</v>
      </c>
      <c r="C503" s="13" t="s">
        <v>1009</v>
      </c>
      <c r="D503" s="14">
        <v>45473</v>
      </c>
      <c r="E503" s="15">
        <v>2616</v>
      </c>
      <c r="F503" s="16">
        <v>10</v>
      </c>
      <c r="G503" s="17">
        <f t="shared" ref="G503:G510" si="160">+E503/F503</f>
        <v>261.60000000000002</v>
      </c>
      <c r="H503" s="15">
        <v>1761.9369999999999</v>
      </c>
      <c r="I503" s="15">
        <v>4426.3329999999996</v>
      </c>
      <c r="J503" s="15">
        <v>161.345</v>
      </c>
      <c r="K503" s="15">
        <v>190.59700000000001</v>
      </c>
      <c r="L503" s="15">
        <v>-514.18799999999999</v>
      </c>
      <c r="M503" s="17">
        <f t="shared" ref="M503:M510" si="161">+L503-N503</f>
        <v>-5.4660000000000082</v>
      </c>
      <c r="N503" s="15">
        <v>-508.72199999999998</v>
      </c>
      <c r="O503" s="18">
        <v>0</v>
      </c>
      <c r="P503" s="18">
        <v>0</v>
      </c>
      <c r="Q503" s="19">
        <f t="shared" ref="Q503:Q510" si="162">SUM(O503:P503)</f>
        <v>0</v>
      </c>
      <c r="R503" s="18"/>
      <c r="S503" s="20">
        <v>3219</v>
      </c>
    </row>
    <row r="504" spans="1:19" ht="15.75" x14ac:dyDescent="0.25">
      <c r="A504" s="12">
        <f>+A503+1</f>
        <v>2</v>
      </c>
      <c r="B504" s="12" t="s">
        <v>1010</v>
      </c>
      <c r="C504" s="13" t="s">
        <v>1011</v>
      </c>
      <c r="D504" s="14">
        <v>45473</v>
      </c>
      <c r="E504" s="15">
        <v>378.73820999999998</v>
      </c>
      <c r="F504" s="16">
        <v>10</v>
      </c>
      <c r="G504" s="17">
        <f t="shared" si="160"/>
        <v>37.873821</v>
      </c>
      <c r="H504" s="15">
        <v>1775.0296290000001</v>
      </c>
      <c r="I504" s="15">
        <v>4367.88699</v>
      </c>
      <c r="J504" s="15">
        <v>3419.3496540000001</v>
      </c>
      <c r="K504" s="15">
        <v>143.17958100000001</v>
      </c>
      <c r="L504" s="15">
        <v>-124.93968599999999</v>
      </c>
      <c r="M504" s="17">
        <f t="shared" si="161"/>
        <v>-15.026531999999989</v>
      </c>
      <c r="N504" s="15">
        <v>-109.91315400000001</v>
      </c>
      <c r="O504" s="18">
        <v>0</v>
      </c>
      <c r="P504" s="18">
        <v>0</v>
      </c>
      <c r="Q504" s="19">
        <f t="shared" si="162"/>
        <v>0</v>
      </c>
      <c r="R504" s="18"/>
      <c r="S504" s="20">
        <v>861</v>
      </c>
    </row>
    <row r="505" spans="1:19" ht="15.75" x14ac:dyDescent="0.25">
      <c r="A505" s="12">
        <f t="shared" ref="A505:A510" si="163">+A504+1</f>
        <v>3</v>
      </c>
      <c r="B505" s="12" t="s">
        <v>1012</v>
      </c>
      <c r="C505" s="13" t="s">
        <v>1013</v>
      </c>
      <c r="D505" s="14">
        <v>45473</v>
      </c>
      <c r="E505" s="15">
        <v>2400</v>
      </c>
      <c r="F505" s="16">
        <v>10</v>
      </c>
      <c r="G505" s="17">
        <f>+E505/F505</f>
        <v>240</v>
      </c>
      <c r="H505" s="15">
        <v>2568.460979</v>
      </c>
      <c r="I505" s="15">
        <v>5218.9504619999998</v>
      </c>
      <c r="J505" s="15">
        <v>2439.728325</v>
      </c>
      <c r="K505" s="15">
        <v>406.70553799999999</v>
      </c>
      <c r="L505" s="15">
        <v>144.818038</v>
      </c>
      <c r="M505" s="17">
        <f>+L505-N505</f>
        <v>0</v>
      </c>
      <c r="N505" s="15">
        <v>144.818038</v>
      </c>
      <c r="O505" s="18">
        <v>0</v>
      </c>
      <c r="P505" s="18">
        <v>0</v>
      </c>
      <c r="Q505" s="19">
        <f>SUM(O505:P505)</f>
        <v>0</v>
      </c>
      <c r="R505" s="18"/>
      <c r="S505" s="20">
        <v>6227</v>
      </c>
    </row>
    <row r="506" spans="1:19" ht="15.75" x14ac:dyDescent="0.25">
      <c r="A506" s="12">
        <f t="shared" si="163"/>
        <v>4</v>
      </c>
      <c r="B506" s="12" t="s">
        <v>1014</v>
      </c>
      <c r="C506" s="13" t="s">
        <v>1015</v>
      </c>
      <c r="D506" s="14">
        <v>45473</v>
      </c>
      <c r="E506" s="15">
        <v>9997.1483800000005</v>
      </c>
      <c r="F506" s="16">
        <v>10</v>
      </c>
      <c r="G506" s="17">
        <f t="shared" si="160"/>
        <v>999.7148380000001</v>
      </c>
      <c r="H506" s="15">
        <v>33951.980509000001</v>
      </c>
      <c r="I506" s="15">
        <v>49563.468711000001</v>
      </c>
      <c r="J506" s="15">
        <v>47790.454546000001</v>
      </c>
      <c r="K506" s="15">
        <v>206.21417700000001</v>
      </c>
      <c r="L506" s="15">
        <v>8032.6563230000002</v>
      </c>
      <c r="M506" s="17">
        <f t="shared" si="161"/>
        <v>1282.435125</v>
      </c>
      <c r="N506" s="15">
        <v>6750.2211980000002</v>
      </c>
      <c r="O506" s="18">
        <v>10</v>
      </c>
      <c r="P506" s="18">
        <v>0</v>
      </c>
      <c r="Q506" s="19">
        <f t="shared" si="162"/>
        <v>10</v>
      </c>
      <c r="R506" s="18"/>
      <c r="S506" s="20">
        <v>4787</v>
      </c>
    </row>
    <row r="507" spans="1:19" ht="15.75" x14ac:dyDescent="0.25">
      <c r="A507" s="12">
        <f t="shared" si="163"/>
        <v>5</v>
      </c>
      <c r="B507" s="22" t="s">
        <v>1016</v>
      </c>
      <c r="C507" s="13" t="s">
        <v>1017</v>
      </c>
      <c r="D507" s="14">
        <v>45473</v>
      </c>
      <c r="E507" s="15">
        <v>1499.4217799999999</v>
      </c>
      <c r="F507" s="16">
        <v>10</v>
      </c>
      <c r="G507" s="17">
        <f t="shared" si="160"/>
        <v>149.94217799999998</v>
      </c>
      <c r="H507" s="15">
        <v>3780.6416359999998</v>
      </c>
      <c r="I507" s="15">
        <v>5704.3007699999998</v>
      </c>
      <c r="J507" s="15">
        <v>4973.5153010000004</v>
      </c>
      <c r="K507" s="15">
        <v>0</v>
      </c>
      <c r="L507" s="15">
        <v>1235.665677</v>
      </c>
      <c r="M507" s="17">
        <f t="shared" si="161"/>
        <v>337.66887599999995</v>
      </c>
      <c r="N507" s="15">
        <v>897.996801</v>
      </c>
      <c r="O507" s="18">
        <v>10</v>
      </c>
      <c r="P507" s="18">
        <v>0</v>
      </c>
      <c r="Q507" s="19">
        <f t="shared" si="162"/>
        <v>10</v>
      </c>
      <c r="R507" s="18"/>
      <c r="S507" s="20">
        <v>3159</v>
      </c>
    </row>
    <row r="508" spans="1:19" ht="15.75" x14ac:dyDescent="0.25">
      <c r="A508" s="12">
        <f t="shared" si="163"/>
        <v>6</v>
      </c>
      <c r="B508" s="12" t="s">
        <v>1018</v>
      </c>
      <c r="C508" s="13" t="s">
        <v>1019</v>
      </c>
      <c r="D508" s="14">
        <v>45473</v>
      </c>
      <c r="E508" s="15">
        <v>145.48676</v>
      </c>
      <c r="F508" s="16">
        <v>10</v>
      </c>
      <c r="G508" s="17">
        <f t="shared" si="160"/>
        <v>14.548676</v>
      </c>
      <c r="H508" s="15">
        <v>1299.517104</v>
      </c>
      <c r="I508" s="15">
        <v>2120.9040479999999</v>
      </c>
      <c r="J508" s="15">
        <v>1348.4655499999999</v>
      </c>
      <c r="K508" s="15">
        <v>1.525514</v>
      </c>
      <c r="L508" s="15">
        <v>-490.75165299999998</v>
      </c>
      <c r="M508" s="17">
        <f t="shared" si="161"/>
        <v>-58.663837000000001</v>
      </c>
      <c r="N508" s="15">
        <v>-432.08781599999998</v>
      </c>
      <c r="O508" s="18">
        <v>0</v>
      </c>
      <c r="P508" s="18">
        <v>0</v>
      </c>
      <c r="Q508" s="19">
        <f t="shared" si="162"/>
        <v>0</v>
      </c>
      <c r="R508" s="18"/>
      <c r="S508" s="20">
        <v>284</v>
      </c>
    </row>
    <row r="509" spans="1:19" ht="15.75" x14ac:dyDescent="0.25">
      <c r="A509" s="12">
        <f t="shared" si="163"/>
        <v>7</v>
      </c>
      <c r="B509" s="12" t="s">
        <v>1020</v>
      </c>
      <c r="C509" s="13" t="s">
        <v>1021</v>
      </c>
      <c r="D509" s="14">
        <v>45473</v>
      </c>
      <c r="E509" s="15">
        <v>1196.5999999999999</v>
      </c>
      <c r="F509" s="16">
        <v>5</v>
      </c>
      <c r="G509" s="17">
        <f t="shared" si="160"/>
        <v>239.32</v>
      </c>
      <c r="H509" s="15">
        <v>3020.3960000000002</v>
      </c>
      <c r="I509" s="15">
        <v>8160.6959999999999</v>
      </c>
      <c r="J509" s="15">
        <v>15581.047</v>
      </c>
      <c r="K509" s="15">
        <v>198.63</v>
      </c>
      <c r="L509" s="15">
        <v>597.44200000000001</v>
      </c>
      <c r="M509" s="17">
        <f t="shared" si="161"/>
        <v>277.27699999999999</v>
      </c>
      <c r="N509" s="15">
        <v>320.16500000000002</v>
      </c>
      <c r="O509" s="18">
        <v>15</v>
      </c>
      <c r="P509" s="18">
        <v>0</v>
      </c>
      <c r="Q509" s="19">
        <f t="shared" si="162"/>
        <v>15</v>
      </c>
      <c r="R509" s="18"/>
      <c r="S509" s="20">
        <v>3283</v>
      </c>
    </row>
    <row r="510" spans="1:19" ht="15.75" x14ac:dyDescent="0.25">
      <c r="A510" s="12">
        <f t="shared" si="163"/>
        <v>8</v>
      </c>
      <c r="B510" s="22" t="s">
        <v>1022</v>
      </c>
      <c r="C510" s="13" t="s">
        <v>1023</v>
      </c>
      <c r="D510" s="14">
        <v>45473</v>
      </c>
      <c r="E510" s="15">
        <v>1721.6718800000001</v>
      </c>
      <c r="F510" s="16">
        <v>10</v>
      </c>
      <c r="G510" s="17">
        <f t="shared" si="160"/>
        <v>172.16718800000001</v>
      </c>
      <c r="H510" s="15">
        <v>18623.627238000001</v>
      </c>
      <c r="I510" s="15">
        <v>28128.18217</v>
      </c>
      <c r="J510" s="15">
        <v>29598.543541999999</v>
      </c>
      <c r="K510" s="15">
        <v>572.35065499999996</v>
      </c>
      <c r="L510" s="15">
        <v>6755.823163</v>
      </c>
      <c r="M510" s="17">
        <f t="shared" si="161"/>
        <v>2381.3538920000001</v>
      </c>
      <c r="N510" s="15">
        <v>4374.4692709999999</v>
      </c>
      <c r="O510" s="18">
        <v>0</v>
      </c>
      <c r="P510" s="18">
        <v>0</v>
      </c>
      <c r="Q510" s="19">
        <f t="shared" si="162"/>
        <v>0</v>
      </c>
      <c r="R510" s="18"/>
      <c r="S510" s="20">
        <v>3895</v>
      </c>
    </row>
    <row r="511" spans="1:19" ht="15.75" x14ac:dyDescent="0.25">
      <c r="A511" s="22">
        <v>1</v>
      </c>
      <c r="B511" s="22" t="s">
        <v>1024</v>
      </c>
      <c r="C511" s="13" t="s">
        <v>1025</v>
      </c>
      <c r="D511" s="14">
        <v>45473</v>
      </c>
      <c r="E511" s="15"/>
      <c r="F511" s="16">
        <v>10</v>
      </c>
      <c r="G511" s="17">
        <f>+E511/F511</f>
        <v>0</v>
      </c>
      <c r="H511" s="15"/>
      <c r="I511" s="15"/>
      <c r="J511" s="15"/>
      <c r="K511" s="15"/>
      <c r="L511" s="15"/>
      <c r="M511" s="17">
        <f>+L511-N511</f>
        <v>0</v>
      </c>
      <c r="N511" s="15"/>
      <c r="O511" s="18"/>
      <c r="P511" s="18"/>
      <c r="Q511" s="19">
        <f>SUM(O511:P511)</f>
        <v>0</v>
      </c>
      <c r="R511" s="18"/>
      <c r="S511" s="20"/>
    </row>
    <row r="512" spans="1:19" ht="15.75" x14ac:dyDescent="0.25">
      <c r="A512" s="22">
        <v>1</v>
      </c>
      <c r="B512" s="22" t="s">
        <v>1026</v>
      </c>
      <c r="C512" s="13" t="s">
        <v>1027</v>
      </c>
      <c r="D512" s="14">
        <v>45473</v>
      </c>
      <c r="E512" s="15">
        <v>25.072732999999999</v>
      </c>
      <c r="F512" s="16">
        <v>10</v>
      </c>
      <c r="G512" s="17">
        <f t="shared" ref="G512:G527" si="164">+E512/F512</f>
        <v>2.5072733</v>
      </c>
      <c r="H512" s="15">
        <v>23.288554000000001</v>
      </c>
      <c r="I512" s="15">
        <v>32.127737000000003</v>
      </c>
      <c r="J512" s="15">
        <v>6</v>
      </c>
      <c r="K512" s="15">
        <v>0</v>
      </c>
      <c r="L512" s="15">
        <v>8.3466439999999995</v>
      </c>
      <c r="M512" s="17">
        <f t="shared" ref="M512:M527" si="165">+L512-N512</f>
        <v>-1.4266000000001E-2</v>
      </c>
      <c r="N512" s="15">
        <v>8.3609100000000005</v>
      </c>
      <c r="O512" s="18">
        <v>0</v>
      </c>
      <c r="P512" s="18">
        <v>0</v>
      </c>
      <c r="Q512" s="19">
        <f t="shared" ref="Q512:Q527" si="166">SUM(O512:P512)</f>
        <v>0</v>
      </c>
      <c r="R512" s="18"/>
      <c r="S512" s="20">
        <v>792</v>
      </c>
    </row>
    <row r="513" spans="1:19" ht="15.75" x14ac:dyDescent="0.25">
      <c r="A513" s="22">
        <f>+A512+1</f>
        <v>2</v>
      </c>
      <c r="B513" s="12" t="s">
        <v>1028</v>
      </c>
      <c r="C513" s="13" t="s">
        <v>1029</v>
      </c>
      <c r="D513" s="14">
        <v>45473</v>
      </c>
      <c r="E513" s="15">
        <v>100</v>
      </c>
      <c r="F513" s="16">
        <v>10</v>
      </c>
      <c r="G513" s="17">
        <f t="shared" si="164"/>
        <v>10</v>
      </c>
      <c r="H513" s="15">
        <v>322.38519000000002</v>
      </c>
      <c r="I513" s="15">
        <v>681.49008200000003</v>
      </c>
      <c r="J513" s="15">
        <v>1278.4854419999999</v>
      </c>
      <c r="K513" s="15">
        <v>16.681270999999999</v>
      </c>
      <c r="L513" s="15">
        <v>40.189808999999997</v>
      </c>
      <c r="M513" s="17">
        <f t="shared" si="165"/>
        <v>12.936492999999995</v>
      </c>
      <c r="N513" s="15">
        <v>27.253316000000002</v>
      </c>
      <c r="O513" s="18">
        <v>0</v>
      </c>
      <c r="P513" s="18">
        <v>0</v>
      </c>
      <c r="Q513" s="19">
        <f t="shared" si="166"/>
        <v>0</v>
      </c>
      <c r="R513" s="18"/>
      <c r="S513" s="20">
        <v>320</v>
      </c>
    </row>
    <row r="514" spans="1:19" ht="15.75" x14ac:dyDescent="0.25">
      <c r="A514" s="22">
        <f t="shared" ref="A514:A527" si="167">+A513+1</f>
        <v>3</v>
      </c>
      <c r="B514" s="12" t="s">
        <v>1030</v>
      </c>
      <c r="C514" s="13" t="s">
        <v>1031</v>
      </c>
      <c r="D514" s="14">
        <v>45473</v>
      </c>
      <c r="E514" s="15">
        <v>40</v>
      </c>
      <c r="F514" s="16">
        <v>10</v>
      </c>
      <c r="G514" s="17">
        <f t="shared" si="164"/>
        <v>4</v>
      </c>
      <c r="H514" s="15">
        <v>339.31645700000001</v>
      </c>
      <c r="I514" s="15">
        <v>352.07949300000001</v>
      </c>
      <c r="J514" s="15">
        <v>21.865856000000001</v>
      </c>
      <c r="K514" s="15">
        <v>5.4819999999999999E-3</v>
      </c>
      <c r="L514" s="15">
        <v>-247.39160000000001</v>
      </c>
      <c r="M514" s="17">
        <f t="shared" si="165"/>
        <v>2.1679719999999918</v>
      </c>
      <c r="N514" s="15">
        <v>-249.559572</v>
      </c>
      <c r="O514" s="18">
        <v>0</v>
      </c>
      <c r="P514" s="18">
        <v>0</v>
      </c>
      <c r="Q514" s="19">
        <f t="shared" si="166"/>
        <v>0</v>
      </c>
      <c r="R514" s="18"/>
      <c r="S514" s="20">
        <v>592</v>
      </c>
    </row>
    <row r="515" spans="1:19" ht="15.75" x14ac:dyDescent="0.25">
      <c r="A515" s="22">
        <f t="shared" si="167"/>
        <v>4</v>
      </c>
      <c r="B515" s="22" t="s">
        <v>1032</v>
      </c>
      <c r="C515" s="21" t="s">
        <v>1033</v>
      </c>
      <c r="D515" s="14">
        <v>45473</v>
      </c>
      <c r="E515" s="15">
        <v>90</v>
      </c>
      <c r="F515" s="16">
        <v>10</v>
      </c>
      <c r="G515" s="17">
        <f>+E515/F515</f>
        <v>9</v>
      </c>
      <c r="H515" s="15">
        <v>246.68707599999999</v>
      </c>
      <c r="I515" s="15">
        <v>527.90567999999996</v>
      </c>
      <c r="J515" s="15">
        <v>0</v>
      </c>
      <c r="K515" s="15">
        <v>2.2116E-2</v>
      </c>
      <c r="L515" s="15">
        <v>-11.480392999999999</v>
      </c>
      <c r="M515" s="17">
        <f>+L515-N515</f>
        <v>12.752952000000001</v>
      </c>
      <c r="N515" s="15">
        <v>-24.233345</v>
      </c>
      <c r="O515" s="18">
        <v>0</v>
      </c>
      <c r="P515" s="18">
        <v>0</v>
      </c>
      <c r="Q515" s="19">
        <f>SUM(O515:P515)</f>
        <v>0</v>
      </c>
      <c r="R515" s="18"/>
      <c r="S515" s="20">
        <v>271</v>
      </c>
    </row>
    <row r="516" spans="1:19" ht="15.75" x14ac:dyDescent="0.25">
      <c r="A516" s="22">
        <f t="shared" si="167"/>
        <v>5</v>
      </c>
      <c r="B516" s="12" t="s">
        <v>1034</v>
      </c>
      <c r="C516" s="13" t="s">
        <v>1035</v>
      </c>
      <c r="D516" s="14">
        <v>45473</v>
      </c>
      <c r="E516" s="15">
        <v>482.58418999999998</v>
      </c>
      <c r="F516" s="16">
        <v>10</v>
      </c>
      <c r="G516" s="17">
        <f t="shared" si="164"/>
        <v>48.258418999999996</v>
      </c>
      <c r="H516" s="15">
        <v>1296.548</v>
      </c>
      <c r="I516" s="15">
        <v>2961.9639999999999</v>
      </c>
      <c r="J516" s="15">
        <v>6212.1859999999997</v>
      </c>
      <c r="K516" s="15">
        <v>242.55099999999999</v>
      </c>
      <c r="L516" s="15">
        <v>221.125</v>
      </c>
      <c r="M516" s="17">
        <f t="shared" si="165"/>
        <v>92.181999999999988</v>
      </c>
      <c r="N516" s="15">
        <v>128.94300000000001</v>
      </c>
      <c r="O516" s="18">
        <v>15</v>
      </c>
      <c r="P516" s="18">
        <v>0</v>
      </c>
      <c r="Q516" s="19">
        <f t="shared" si="166"/>
        <v>15</v>
      </c>
      <c r="R516" s="18"/>
      <c r="S516" s="20">
        <v>2224</v>
      </c>
    </row>
    <row r="517" spans="1:19" ht="15.75" x14ac:dyDescent="0.25">
      <c r="A517" s="22">
        <f t="shared" si="167"/>
        <v>6</v>
      </c>
      <c r="B517" s="12" t="s">
        <v>1036</v>
      </c>
      <c r="C517" s="21" t="s">
        <v>1037</v>
      </c>
      <c r="D517" s="14">
        <v>45473</v>
      </c>
      <c r="E517" s="15">
        <v>282.66230999999999</v>
      </c>
      <c r="F517" s="16">
        <v>10</v>
      </c>
      <c r="G517" s="17">
        <f>+E517/F517</f>
        <v>28.266230999999998</v>
      </c>
      <c r="H517" s="15">
        <v>847.749638</v>
      </c>
      <c r="I517" s="15">
        <v>1066.905334</v>
      </c>
      <c r="J517" s="15">
        <v>0</v>
      </c>
      <c r="K517" s="15">
        <v>3.8279999999999998E-3</v>
      </c>
      <c r="L517" s="15">
        <v>2.4531770000000002</v>
      </c>
      <c r="M517" s="17">
        <f>+L517-N517</f>
        <v>-40.180042999999998</v>
      </c>
      <c r="N517" s="15">
        <v>42.633220000000001</v>
      </c>
      <c r="O517" s="18">
        <v>0</v>
      </c>
      <c r="P517" s="18">
        <v>0</v>
      </c>
      <c r="Q517" s="19">
        <f>SUM(O517:P517)</f>
        <v>0</v>
      </c>
      <c r="R517" s="18"/>
      <c r="S517" s="20">
        <v>2315</v>
      </c>
    </row>
    <row r="518" spans="1:19" ht="15.75" x14ac:dyDescent="0.25">
      <c r="A518" s="22">
        <f t="shared" si="167"/>
        <v>7</v>
      </c>
      <c r="B518" s="22" t="s">
        <v>1038</v>
      </c>
      <c r="C518" s="13" t="s">
        <v>1039</v>
      </c>
      <c r="D518" s="14">
        <v>45473</v>
      </c>
      <c r="E518" s="15">
        <v>73.493409999999997</v>
      </c>
      <c r="F518" s="16">
        <v>10</v>
      </c>
      <c r="G518" s="17">
        <f t="shared" si="164"/>
        <v>7.3493409999999999</v>
      </c>
      <c r="H518" s="15">
        <v>666.00444800000002</v>
      </c>
      <c r="I518" s="15">
        <v>754.94234300000005</v>
      </c>
      <c r="J518" s="15">
        <v>578.66700000000003</v>
      </c>
      <c r="K518" s="15">
        <v>1.055534</v>
      </c>
      <c r="L518" s="15">
        <v>102.714778</v>
      </c>
      <c r="M518" s="17">
        <f t="shared" si="165"/>
        <v>3.8648799999999994</v>
      </c>
      <c r="N518" s="15">
        <v>98.849897999999996</v>
      </c>
      <c r="O518" s="18">
        <v>20</v>
      </c>
      <c r="P518" s="18">
        <v>0</v>
      </c>
      <c r="Q518" s="19">
        <f t="shared" si="166"/>
        <v>20</v>
      </c>
      <c r="R518" s="18"/>
      <c r="S518" s="20">
        <v>329</v>
      </c>
    </row>
    <row r="519" spans="1:19" ht="15.75" x14ac:dyDescent="0.25">
      <c r="A519" s="22">
        <f t="shared" si="167"/>
        <v>8</v>
      </c>
      <c r="B519" s="12" t="s">
        <v>1040</v>
      </c>
      <c r="C519" s="13" t="s">
        <v>1041</v>
      </c>
      <c r="D519" s="14">
        <v>45657</v>
      </c>
      <c r="E519" s="15"/>
      <c r="F519" s="16">
        <v>10</v>
      </c>
      <c r="G519" s="17">
        <f t="shared" si="164"/>
        <v>0</v>
      </c>
      <c r="H519" s="15"/>
      <c r="I519" s="15"/>
      <c r="J519" s="15"/>
      <c r="K519" s="15"/>
      <c r="L519" s="15"/>
      <c r="M519" s="17">
        <f t="shared" si="165"/>
        <v>0</v>
      </c>
      <c r="N519" s="15"/>
      <c r="O519" s="18"/>
      <c r="P519" s="18"/>
      <c r="Q519" s="19">
        <f t="shared" ref="Q519" si="168">SUM(O519:P519)</f>
        <v>0</v>
      </c>
      <c r="R519" s="18"/>
      <c r="S519" s="20"/>
    </row>
    <row r="520" spans="1:19" ht="15.75" x14ac:dyDescent="0.25">
      <c r="A520" s="22">
        <f t="shared" si="167"/>
        <v>9</v>
      </c>
      <c r="B520" s="22" t="s">
        <v>1042</v>
      </c>
      <c r="C520" s="13" t="s">
        <v>1043</v>
      </c>
      <c r="D520" s="14">
        <v>45473</v>
      </c>
      <c r="E520" s="15">
        <v>180</v>
      </c>
      <c r="F520" s="16">
        <v>10</v>
      </c>
      <c r="G520" s="17">
        <f t="shared" si="164"/>
        <v>18</v>
      </c>
      <c r="H520" s="15">
        <v>14401.06</v>
      </c>
      <c r="I520" s="15">
        <v>16114.767</v>
      </c>
      <c r="J520" s="15">
        <v>728.524</v>
      </c>
      <c r="K520" s="15">
        <v>0</v>
      </c>
      <c r="L520" s="15">
        <v>297.75299999999999</v>
      </c>
      <c r="M520" s="17">
        <f t="shared" si="165"/>
        <v>-149.12400000000002</v>
      </c>
      <c r="N520" s="15">
        <v>446.87700000000001</v>
      </c>
      <c r="O520" s="18">
        <f>30+30+40</f>
        <v>100</v>
      </c>
      <c r="P520" s="18">
        <v>0</v>
      </c>
      <c r="Q520" s="19">
        <f t="shared" si="166"/>
        <v>100</v>
      </c>
      <c r="R520" s="18"/>
      <c r="S520" s="20">
        <v>608</v>
      </c>
    </row>
    <row r="521" spans="1:19" ht="15.75" x14ac:dyDescent="0.25">
      <c r="A521" s="22">
        <f t="shared" si="167"/>
        <v>10</v>
      </c>
      <c r="B521" s="22" t="s">
        <v>1044</v>
      </c>
      <c r="C521" s="13" t="s">
        <v>1045</v>
      </c>
      <c r="D521" s="14">
        <v>45473</v>
      </c>
      <c r="E521" s="15">
        <v>325.24200000000002</v>
      </c>
      <c r="F521" s="16">
        <v>10</v>
      </c>
      <c r="G521" s="17">
        <f t="shared" si="164"/>
        <v>32.5242</v>
      </c>
      <c r="H521" s="15">
        <v>45895.063999999998</v>
      </c>
      <c r="I521" s="15">
        <v>62268.686000000002</v>
      </c>
      <c r="J521" s="15">
        <v>15044.701999999999</v>
      </c>
      <c r="K521" s="15">
        <v>2463.8290000000002</v>
      </c>
      <c r="L521" s="15">
        <v>370.137</v>
      </c>
      <c r="M521" s="17">
        <f t="shared" si="165"/>
        <v>-55.326999999999998</v>
      </c>
      <c r="N521" s="15">
        <v>425.464</v>
      </c>
      <c r="O521" s="18">
        <v>0</v>
      </c>
      <c r="P521" s="18">
        <v>0</v>
      </c>
      <c r="Q521" s="19">
        <f t="shared" si="166"/>
        <v>0</v>
      </c>
      <c r="R521" s="18"/>
      <c r="S521" s="20"/>
    </row>
    <row r="522" spans="1:19" ht="15.75" x14ac:dyDescent="0.25">
      <c r="A522" s="22">
        <f t="shared" si="167"/>
        <v>11</v>
      </c>
      <c r="B522" s="12" t="s">
        <v>1046</v>
      </c>
      <c r="C522" s="13" t="s">
        <v>1047</v>
      </c>
      <c r="D522" s="14">
        <v>45473</v>
      </c>
      <c r="E522" s="15">
        <v>632.14382999999998</v>
      </c>
      <c r="F522" s="16">
        <v>10</v>
      </c>
      <c r="G522" s="17">
        <f t="shared" si="164"/>
        <v>63.214382999999998</v>
      </c>
      <c r="H522" s="15">
        <v>11916.016</v>
      </c>
      <c r="I522" s="15">
        <v>18286.651999999998</v>
      </c>
      <c r="J522" s="15">
        <v>23563.84</v>
      </c>
      <c r="K522" s="15">
        <v>441.05399999999997</v>
      </c>
      <c r="L522" s="15">
        <v>2248.8890000000001</v>
      </c>
      <c r="M522" s="17">
        <f t="shared" si="165"/>
        <v>886.81500000000005</v>
      </c>
      <c r="N522" s="15">
        <v>1362.0740000000001</v>
      </c>
      <c r="O522" s="18">
        <f>15+25</f>
        <v>40</v>
      </c>
      <c r="P522" s="18">
        <v>0</v>
      </c>
      <c r="Q522" s="19">
        <f t="shared" si="166"/>
        <v>40</v>
      </c>
      <c r="R522" s="18"/>
      <c r="S522" s="20">
        <v>2431</v>
      </c>
    </row>
    <row r="523" spans="1:19" ht="15.75" x14ac:dyDescent="0.25">
      <c r="A523" s="22">
        <f t="shared" si="167"/>
        <v>12</v>
      </c>
      <c r="B523" s="12" t="s">
        <v>1048</v>
      </c>
      <c r="C523" s="13" t="s">
        <v>1049</v>
      </c>
      <c r="D523" s="14">
        <v>45473</v>
      </c>
      <c r="E523" s="15"/>
      <c r="F523" s="16">
        <v>10</v>
      </c>
      <c r="G523" s="17">
        <f t="shared" si="164"/>
        <v>0</v>
      </c>
      <c r="H523" s="15"/>
      <c r="I523" s="15"/>
      <c r="J523" s="15"/>
      <c r="K523" s="15"/>
      <c r="L523" s="15"/>
      <c r="M523" s="17">
        <f t="shared" si="165"/>
        <v>0</v>
      </c>
      <c r="N523" s="15"/>
      <c r="O523" s="18"/>
      <c r="P523" s="18"/>
      <c r="Q523" s="19">
        <f t="shared" si="166"/>
        <v>0</v>
      </c>
      <c r="R523" s="18"/>
      <c r="S523" s="20"/>
    </row>
    <row r="524" spans="1:19" ht="15.75" x14ac:dyDescent="0.25">
      <c r="A524" s="22">
        <f t="shared" si="167"/>
        <v>13</v>
      </c>
      <c r="B524" s="12" t="s">
        <v>1050</v>
      </c>
      <c r="C524" s="13" t="s">
        <v>1051</v>
      </c>
      <c r="D524" s="14">
        <v>45657</v>
      </c>
      <c r="E524" s="15"/>
      <c r="F524" s="16">
        <v>10</v>
      </c>
      <c r="G524" s="17">
        <f t="shared" si="164"/>
        <v>0</v>
      </c>
      <c r="H524" s="15"/>
      <c r="I524" s="15"/>
      <c r="J524" s="15"/>
      <c r="K524" s="15"/>
      <c r="L524" s="15"/>
      <c r="M524" s="17">
        <f t="shared" si="165"/>
        <v>0</v>
      </c>
      <c r="N524" s="15"/>
      <c r="O524" s="18"/>
      <c r="P524" s="18"/>
      <c r="Q524" s="19">
        <f t="shared" si="166"/>
        <v>0</v>
      </c>
      <c r="R524" s="18"/>
      <c r="S524" s="20"/>
    </row>
    <row r="525" spans="1:19" ht="15.75" x14ac:dyDescent="0.25">
      <c r="A525" s="22">
        <f t="shared" si="167"/>
        <v>14</v>
      </c>
      <c r="B525" s="22" t="s">
        <v>1052</v>
      </c>
      <c r="C525" s="13" t="s">
        <v>1053</v>
      </c>
      <c r="D525" s="14">
        <v>45473</v>
      </c>
      <c r="E525" s="15">
        <v>918</v>
      </c>
      <c r="F525" s="16">
        <v>10</v>
      </c>
      <c r="G525" s="17">
        <f t="shared" si="164"/>
        <v>91.8</v>
      </c>
      <c r="H525" s="15">
        <v>-167.834</v>
      </c>
      <c r="I525" s="15">
        <v>1010.126</v>
      </c>
      <c r="J525" s="15">
        <v>1120.8389999999999</v>
      </c>
      <c r="K525" s="15">
        <v>13.693</v>
      </c>
      <c r="L525" s="15">
        <v>-55.801000000000002</v>
      </c>
      <c r="M525" s="17">
        <f t="shared" si="165"/>
        <v>3.1890000000000001</v>
      </c>
      <c r="N525" s="15">
        <v>-58.99</v>
      </c>
      <c r="O525" s="18">
        <v>0</v>
      </c>
      <c r="P525" s="18">
        <v>0</v>
      </c>
      <c r="Q525" s="19">
        <f t="shared" si="166"/>
        <v>0</v>
      </c>
      <c r="R525" s="18"/>
      <c r="S525" s="20">
        <v>1096</v>
      </c>
    </row>
    <row r="526" spans="1:19" ht="15.75" x14ac:dyDescent="0.25">
      <c r="A526" s="22">
        <f t="shared" si="167"/>
        <v>15</v>
      </c>
      <c r="B526" s="22" t="s">
        <v>1054</v>
      </c>
      <c r="C526" s="13" t="s">
        <v>1055</v>
      </c>
      <c r="D526" s="14">
        <v>45473</v>
      </c>
      <c r="E526" s="15">
        <v>351.20548000000002</v>
      </c>
      <c r="F526" s="16">
        <v>10</v>
      </c>
      <c r="G526" s="17">
        <f t="shared" si="164"/>
        <v>35.120547999999999</v>
      </c>
      <c r="H526" s="15">
        <v>534.584743</v>
      </c>
      <c r="I526" s="15">
        <v>549.39069400000005</v>
      </c>
      <c r="J526" s="15">
        <v>0</v>
      </c>
      <c r="K526" s="15">
        <v>8.0009999999999994E-3</v>
      </c>
      <c r="L526" s="15">
        <v>-8.6447570000000002</v>
      </c>
      <c r="M526" s="17">
        <f t="shared" si="165"/>
        <v>0</v>
      </c>
      <c r="N526" s="15">
        <v>-8.6447570000000002</v>
      </c>
      <c r="O526" s="18">
        <v>0</v>
      </c>
      <c r="P526" s="18">
        <v>0</v>
      </c>
      <c r="Q526" s="19">
        <f t="shared" ref="Q526" si="169">SUM(O526:P526)</f>
        <v>0</v>
      </c>
      <c r="R526" s="18"/>
      <c r="S526" s="20">
        <v>3299</v>
      </c>
    </row>
    <row r="527" spans="1:19" ht="15.75" x14ac:dyDescent="0.25">
      <c r="A527" s="22">
        <f t="shared" si="167"/>
        <v>16</v>
      </c>
      <c r="B527" s="22" t="s">
        <v>1056</v>
      </c>
      <c r="C527" s="13" t="s">
        <v>1057</v>
      </c>
      <c r="D527" s="14">
        <v>45473</v>
      </c>
      <c r="E527" s="15">
        <v>352.71300000000002</v>
      </c>
      <c r="F527" s="16">
        <v>10</v>
      </c>
      <c r="G527" s="17">
        <f t="shared" si="164"/>
        <v>35.271300000000004</v>
      </c>
      <c r="H527" s="15">
        <v>1050.626</v>
      </c>
      <c r="I527" s="15">
        <v>2544.8229999999999</v>
      </c>
      <c r="J527" s="15">
        <v>1111.47</v>
      </c>
      <c r="K527" s="15">
        <v>30.82</v>
      </c>
      <c r="L527" s="15">
        <v>429.85300000000001</v>
      </c>
      <c r="M527" s="17">
        <f t="shared" si="165"/>
        <v>67.379000000000019</v>
      </c>
      <c r="N527" s="15">
        <v>362.47399999999999</v>
      </c>
      <c r="O527" s="18">
        <v>40</v>
      </c>
      <c r="P527" s="18">
        <v>0</v>
      </c>
      <c r="Q527" s="19">
        <f t="shared" si="166"/>
        <v>40</v>
      </c>
      <c r="R527" s="18"/>
      <c r="S527" s="20">
        <v>1155</v>
      </c>
    </row>
    <row r="528" spans="1:19" ht="15.75" x14ac:dyDescent="0.25">
      <c r="A528" s="22">
        <v>1</v>
      </c>
      <c r="B528" s="12" t="s">
        <v>1058</v>
      </c>
      <c r="C528" s="13" t="s">
        <v>1059</v>
      </c>
      <c r="D528" s="14">
        <v>45473</v>
      </c>
      <c r="E528" s="15">
        <v>23.228000000000002</v>
      </c>
      <c r="F528" s="16">
        <v>10</v>
      </c>
      <c r="G528" s="17">
        <f t="shared" ref="G528:G530" si="170">+E528/F528</f>
        <v>2.3228</v>
      </c>
      <c r="H528" s="15">
        <v>-17.114463000000001</v>
      </c>
      <c r="I528" s="15">
        <v>65.033311999999995</v>
      </c>
      <c r="J528" s="15">
        <v>0</v>
      </c>
      <c r="K528" s="15">
        <v>0</v>
      </c>
      <c r="L528" s="15">
        <v>0.39490999999999998</v>
      </c>
      <c r="M528" s="17">
        <f t="shared" ref="M528:M530" si="171">+L528-N528</f>
        <v>6.1249999999999971E-2</v>
      </c>
      <c r="N528" s="15">
        <v>0.33366000000000001</v>
      </c>
      <c r="O528" s="18">
        <v>0</v>
      </c>
      <c r="P528" s="18">
        <v>0</v>
      </c>
      <c r="Q528" s="19">
        <f t="shared" ref="Q528:Q530" si="172">SUM(O528:P528)</f>
        <v>0</v>
      </c>
      <c r="R528" s="18"/>
      <c r="S528" s="20"/>
    </row>
    <row r="529" spans="1:19" ht="15.75" x14ac:dyDescent="0.25">
      <c r="A529" s="22">
        <f>+A528+1</f>
        <v>2</v>
      </c>
      <c r="B529" s="12" t="s">
        <v>1060</v>
      </c>
      <c r="C529" s="13" t="s">
        <v>1061</v>
      </c>
      <c r="D529" s="14">
        <v>45473</v>
      </c>
      <c r="E529" s="15"/>
      <c r="F529" s="16">
        <v>5</v>
      </c>
      <c r="G529" s="17">
        <f t="shared" si="170"/>
        <v>0</v>
      </c>
      <c r="H529" s="15"/>
      <c r="I529" s="15"/>
      <c r="J529" s="15"/>
      <c r="K529" s="15"/>
      <c r="L529" s="15"/>
      <c r="M529" s="17">
        <f t="shared" si="171"/>
        <v>0</v>
      </c>
      <c r="N529" s="15"/>
      <c r="O529" s="18"/>
      <c r="P529" s="18"/>
      <c r="Q529" s="19">
        <f t="shared" si="172"/>
        <v>0</v>
      </c>
      <c r="R529" s="18"/>
      <c r="S529" s="20"/>
    </row>
    <row r="530" spans="1:19" ht="15.75" x14ac:dyDescent="0.25">
      <c r="A530" s="22">
        <f t="shared" ref="A530" si="173">+A529+1</f>
        <v>3</v>
      </c>
      <c r="B530" s="22" t="s">
        <v>1062</v>
      </c>
      <c r="C530" s="13" t="s">
        <v>1063</v>
      </c>
      <c r="D530" s="14">
        <v>45473</v>
      </c>
      <c r="E530" s="15">
        <v>287.48133000000001</v>
      </c>
      <c r="F530" s="16">
        <v>10</v>
      </c>
      <c r="G530" s="17">
        <f t="shared" si="170"/>
        <v>28.748133000000003</v>
      </c>
      <c r="H530" s="15"/>
      <c r="I530" s="15"/>
      <c r="J530" s="15"/>
      <c r="K530" s="15"/>
      <c r="L530" s="15">
        <v>120.164</v>
      </c>
      <c r="M530" s="17">
        <f t="shared" si="171"/>
        <v>12.094999999999999</v>
      </c>
      <c r="N530" s="15">
        <v>108.069</v>
      </c>
      <c r="O530" s="18">
        <v>0</v>
      </c>
      <c r="P530" s="18">
        <v>0</v>
      </c>
      <c r="Q530" s="19">
        <f t="shared" si="172"/>
        <v>0</v>
      </c>
      <c r="R530" s="18"/>
      <c r="S530" s="20"/>
    </row>
    <row r="531" spans="1:19" ht="15.75" x14ac:dyDescent="0.25">
      <c r="A531" s="22">
        <v>1</v>
      </c>
      <c r="B531" s="22" t="s">
        <v>1064</v>
      </c>
      <c r="C531" s="13" t="s">
        <v>1065</v>
      </c>
      <c r="D531" s="14">
        <v>45473</v>
      </c>
      <c r="E531" s="15">
        <v>274.28429999999997</v>
      </c>
      <c r="F531" s="16">
        <v>10</v>
      </c>
      <c r="G531" s="17">
        <f t="shared" ref="G531:G535" si="174">+E531/F531</f>
        <v>27.428429999999999</v>
      </c>
      <c r="H531" s="15">
        <v>972.55226100000004</v>
      </c>
      <c r="I531" s="15">
        <v>1220.493827</v>
      </c>
      <c r="J531" s="15">
        <v>1666.3831029999999</v>
      </c>
      <c r="K531" s="15">
        <v>9.613251</v>
      </c>
      <c r="L531" s="15">
        <v>89.798547999999997</v>
      </c>
      <c r="M531" s="17">
        <f t="shared" ref="M531:M535" si="175">+L531-N531</f>
        <v>2.2989029999999957</v>
      </c>
      <c r="N531" s="15">
        <v>87.499645000000001</v>
      </c>
      <c r="O531" s="18">
        <v>0</v>
      </c>
      <c r="P531" s="18">
        <v>0</v>
      </c>
      <c r="Q531" s="19">
        <f t="shared" ref="Q531" si="176">SUM(O531:P531)</f>
        <v>0</v>
      </c>
      <c r="R531" s="18"/>
      <c r="S531" s="20">
        <v>334</v>
      </c>
    </row>
    <row r="532" spans="1:19" ht="15.75" x14ac:dyDescent="0.25">
      <c r="A532" s="22">
        <f>+A531+1</f>
        <v>2</v>
      </c>
      <c r="B532" s="22" t="s">
        <v>1066</v>
      </c>
      <c r="C532" s="13" t="s">
        <v>1067</v>
      </c>
      <c r="D532" s="14">
        <v>45473</v>
      </c>
      <c r="E532" s="15"/>
      <c r="F532" s="16">
        <v>10</v>
      </c>
      <c r="G532" s="17">
        <f t="shared" si="174"/>
        <v>0</v>
      </c>
      <c r="H532" s="15"/>
      <c r="I532" s="15"/>
      <c r="J532" s="15"/>
      <c r="K532" s="15"/>
      <c r="L532" s="15"/>
      <c r="M532" s="17">
        <f t="shared" si="175"/>
        <v>0</v>
      </c>
      <c r="N532" s="15"/>
      <c r="O532" s="18"/>
      <c r="P532" s="18"/>
      <c r="Q532" s="19">
        <f t="shared" ref="Q532:Q533" si="177">SUM(O532:P532)</f>
        <v>0</v>
      </c>
      <c r="R532" s="18"/>
      <c r="S532" s="20"/>
    </row>
    <row r="533" spans="1:19" ht="15.75" x14ac:dyDescent="0.25">
      <c r="A533" s="22">
        <f>+A532+1</f>
        <v>3</v>
      </c>
      <c r="B533" s="22" t="s">
        <v>1068</v>
      </c>
      <c r="C533" s="13" t="s">
        <v>1069</v>
      </c>
      <c r="D533" s="14">
        <v>45473</v>
      </c>
      <c r="E533" s="15">
        <v>200</v>
      </c>
      <c r="F533" s="16">
        <v>10</v>
      </c>
      <c r="G533" s="17">
        <f t="shared" si="174"/>
        <v>20</v>
      </c>
      <c r="H533" s="15"/>
      <c r="I533" s="15"/>
      <c r="J533" s="15"/>
      <c r="K533" s="15"/>
      <c r="L533" s="15">
        <v>80.594999999999999</v>
      </c>
      <c r="M533" s="17">
        <f t="shared" si="175"/>
        <v>41.330999999999996</v>
      </c>
      <c r="N533" s="15">
        <v>39.264000000000003</v>
      </c>
      <c r="O533" s="18">
        <v>0</v>
      </c>
      <c r="P533" s="18">
        <v>0</v>
      </c>
      <c r="Q533" s="19">
        <f t="shared" si="177"/>
        <v>0</v>
      </c>
      <c r="R533" s="18"/>
      <c r="S533" s="20"/>
    </row>
    <row r="534" spans="1:19" ht="15.75" x14ac:dyDescent="0.25">
      <c r="A534" s="22">
        <f t="shared" ref="A534:A535" si="178">+A533+1</f>
        <v>4</v>
      </c>
      <c r="B534" s="22" t="s">
        <v>1070</v>
      </c>
      <c r="C534" s="13" t="s">
        <v>1071</v>
      </c>
      <c r="D534" s="14">
        <v>45473</v>
      </c>
      <c r="E534" s="15">
        <v>2166.7324199999998</v>
      </c>
      <c r="F534" s="16">
        <v>10</v>
      </c>
      <c r="G534" s="17">
        <f t="shared" si="174"/>
        <v>216.67324199999999</v>
      </c>
      <c r="H534" s="15">
        <v>3456.4857419999998</v>
      </c>
      <c r="I534" s="15">
        <v>5142.436017</v>
      </c>
      <c r="J534" s="15">
        <v>0</v>
      </c>
      <c r="K534" s="15">
        <v>6.3870000000000003E-3</v>
      </c>
      <c r="L534" s="15">
        <v>-19.170280999999999</v>
      </c>
      <c r="M534" s="17">
        <f t="shared" si="175"/>
        <v>0</v>
      </c>
      <c r="N534" s="15">
        <v>-19.170280999999999</v>
      </c>
      <c r="O534" s="18">
        <v>0</v>
      </c>
      <c r="P534" s="18">
        <v>0</v>
      </c>
      <c r="Q534" s="19">
        <f t="shared" ref="Q534" si="179">SUM(O534:P534)</f>
        <v>0</v>
      </c>
      <c r="R534" s="18"/>
      <c r="S534" s="20">
        <v>86</v>
      </c>
    </row>
    <row r="535" spans="1:19" ht="15.75" x14ac:dyDescent="0.25">
      <c r="A535" s="22">
        <f t="shared" si="178"/>
        <v>5</v>
      </c>
      <c r="B535" s="12" t="s">
        <v>1072</v>
      </c>
      <c r="C535" s="13" t="s">
        <v>1073</v>
      </c>
      <c r="D535" s="14">
        <v>45473</v>
      </c>
      <c r="E535" s="15">
        <v>1234.4444000000001</v>
      </c>
      <c r="F535" s="16">
        <v>10</v>
      </c>
      <c r="G535" s="17">
        <f t="shared" si="174"/>
        <v>123.44444000000001</v>
      </c>
      <c r="H535" s="15">
        <v>1768.54</v>
      </c>
      <c r="I535" s="15">
        <v>3911.248</v>
      </c>
      <c r="J535" s="15">
        <v>7369.375</v>
      </c>
      <c r="K535" s="15">
        <v>45.661999999999999</v>
      </c>
      <c r="L535" s="15">
        <v>279.714</v>
      </c>
      <c r="M535" s="17">
        <f t="shared" si="175"/>
        <v>123.84199999999998</v>
      </c>
      <c r="N535" s="15">
        <v>155.87200000000001</v>
      </c>
      <c r="O535" s="18">
        <v>0</v>
      </c>
      <c r="P535" s="18">
        <v>0</v>
      </c>
      <c r="Q535" s="19">
        <f t="shared" ref="Q535" si="180">SUM(O535:P535)</f>
        <v>0</v>
      </c>
      <c r="R535" s="18"/>
      <c r="S535" s="20">
        <v>123</v>
      </c>
    </row>
  </sheetData>
  <autoFilter ref="A1:S535" xr:uid="{1617DA69-D328-4D31-937C-7F95C2D1413A}"/>
  <pageMargins left="0.25" right="0" top="0.75" bottom="0.75" header="0.5" footer="0.5"/>
  <pageSetup paperSize="9" scale="48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Master Data Entry</vt:lpstr>
      <vt:lpstr>'Master Data Entry'!Print_Area</vt:lpstr>
      <vt:lpstr>'Master Data Entry'!Print_Titles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Asghar</dc:creator>
  <cp:lastModifiedBy>Muhammad Raza</cp:lastModifiedBy>
  <dcterms:created xsi:type="dcterms:W3CDTF">2024-11-08T06:44:28Z</dcterms:created>
  <dcterms:modified xsi:type="dcterms:W3CDTF">2024-12-02T18:13:15Z</dcterms:modified>
</cp:coreProperties>
</file>