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商业与零售" sheetId="1" r:id="rId1"/>
    <sheet name="医疗" sheetId="2" r:id="rId2"/>
    <sheet name="养老" sheetId="3" r:id="rId3"/>
    <sheet name="文体活动" sheetId="4" r:id="rId4"/>
    <sheet name="办公" sheetId="5" r:id="rId5"/>
    <sheet name="幼儿园" sheetId="6" r:id="rId6"/>
    <sheet name="酒店" sheetId="7" r:id="rId7"/>
    <sheet name="消防站" sheetId="8" r:id="rId8"/>
    <sheet name="公共服务设施" sheetId="9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/>
  <c r="I15" s="1"/>
  <c r="H27"/>
  <c r="G26"/>
  <c r="E25"/>
  <c r="I24"/>
  <c r="H23"/>
  <c r="J22"/>
  <c r="I10" i="5"/>
  <c r="I11" s="1"/>
  <c r="I32"/>
  <c r="G29"/>
  <c r="J30"/>
  <c r="I27"/>
  <c r="I26"/>
  <c r="F8" i="9"/>
  <c r="E8"/>
  <c r="C8"/>
  <c r="B8"/>
  <c r="C11" i="7"/>
  <c r="E11"/>
  <c r="D11"/>
  <c r="B11"/>
  <c r="A11"/>
  <c r="F7" i="6"/>
  <c r="E7"/>
  <c r="D7"/>
  <c r="C7"/>
  <c r="B7"/>
  <c r="E13" i="5"/>
  <c r="D13"/>
  <c r="C13"/>
  <c r="B13"/>
  <c r="A13"/>
  <c r="D26" i="8"/>
  <c r="E16"/>
  <c r="F16"/>
  <c r="D16"/>
  <c r="C16"/>
  <c r="B16"/>
  <c r="E41"/>
  <c r="F41" s="1"/>
  <c r="E40"/>
  <c r="G38"/>
  <c r="E36"/>
  <c r="G34"/>
  <c r="F32"/>
  <c r="G29"/>
  <c r="G25"/>
  <c r="H24"/>
  <c r="I5" i="6"/>
  <c r="I6" s="1"/>
  <c r="D12" i="4"/>
  <c r="F12"/>
  <c r="F13" s="1"/>
  <c r="E12"/>
  <c r="C12"/>
  <c r="H8"/>
  <c r="B12"/>
  <c r="F9" i="3"/>
  <c r="E9"/>
  <c r="D9"/>
  <c r="C9"/>
  <c r="B9"/>
  <c r="E22" i="2"/>
  <c r="D22"/>
  <c r="C22"/>
  <c r="B22"/>
  <c r="N19"/>
  <c r="C15" i="1"/>
  <c r="B15"/>
  <c r="F15"/>
  <c r="F16" s="1"/>
  <c r="E15"/>
  <c r="E16" s="1"/>
  <c r="D15"/>
  <c r="I5" i="9"/>
  <c r="I6" s="1"/>
  <c r="E13" i="8"/>
  <c r="D12"/>
  <c r="I8" i="7"/>
  <c r="I9" s="1"/>
  <c r="C8"/>
  <c r="B8"/>
  <c r="AR24"/>
  <c r="V22"/>
  <c r="H4" i="6"/>
  <c r="I25" i="5"/>
  <c r="H24"/>
  <c r="E23"/>
  <c r="F22"/>
  <c r="H21"/>
  <c r="B19"/>
  <c r="F16"/>
  <c r="A28" i="4"/>
  <c r="H6"/>
  <c r="F26"/>
  <c r="D25"/>
  <c r="D24"/>
  <c r="I23"/>
  <c r="H22"/>
  <c r="H21"/>
  <c r="G20"/>
  <c r="G19"/>
  <c r="F18"/>
  <c r="H17"/>
  <c r="H16"/>
  <c r="B5" i="3"/>
  <c r="B6" s="1"/>
  <c r="H3"/>
  <c r="C28"/>
  <c r="S26"/>
  <c r="M24"/>
  <c r="AF22"/>
  <c r="X21"/>
  <c r="X20"/>
  <c r="I16" i="2"/>
  <c r="F4"/>
  <c r="I5" s="1"/>
  <c r="L15"/>
  <c r="E14"/>
  <c r="J13"/>
  <c r="I12"/>
  <c r="H4"/>
  <c r="F11"/>
  <c r="F10"/>
  <c r="F9"/>
  <c r="I6" l="1"/>
  <c r="H9" i="4"/>
  <c r="F22" i="2"/>
  <c r="H16" i="8"/>
  <c r="H17" s="1"/>
</calcChain>
</file>

<file path=xl/sharedStrings.xml><?xml version="1.0" encoding="utf-8"?>
<sst xmlns="http://schemas.openxmlformats.org/spreadsheetml/2006/main" count="150" uniqueCount="53">
  <si>
    <t>Building1商业</t>
    <phoneticPr fontId="1" type="noConversion"/>
  </si>
  <si>
    <t>F1部分</t>
    <phoneticPr fontId="1" type="noConversion"/>
  </si>
  <si>
    <t>空调冷负荷</t>
    <phoneticPr fontId="1" type="noConversion"/>
  </si>
  <si>
    <t>空调热负荷</t>
    <phoneticPr fontId="1" type="noConversion"/>
  </si>
  <si>
    <t>热水负荷</t>
    <phoneticPr fontId="1" type="noConversion"/>
  </si>
  <si>
    <t>室内设备耗电</t>
    <phoneticPr fontId="1" type="noConversion"/>
  </si>
  <si>
    <t>室内照明耗电</t>
    <phoneticPr fontId="1" type="noConversion"/>
  </si>
  <si>
    <t>餐饮设施耗能</t>
    <phoneticPr fontId="1" type="noConversion"/>
  </si>
  <si>
    <t>新风负荷</t>
    <phoneticPr fontId="1" type="noConversion"/>
  </si>
  <si>
    <t>F2整体</t>
    <phoneticPr fontId="1" type="noConversion"/>
  </si>
  <si>
    <t>Building1医疗</t>
    <phoneticPr fontId="1" type="noConversion"/>
  </si>
  <si>
    <t>Building1养老</t>
    <phoneticPr fontId="1" type="noConversion"/>
  </si>
  <si>
    <t>F3+F4</t>
    <phoneticPr fontId="1" type="noConversion"/>
  </si>
  <si>
    <t>Intensity</t>
    <phoneticPr fontId="1" type="noConversion"/>
  </si>
  <si>
    <t>Building1 F5</t>
    <phoneticPr fontId="1" type="noConversion"/>
  </si>
  <si>
    <t>F5</t>
    <phoneticPr fontId="1" type="noConversion"/>
  </si>
  <si>
    <t>Building2 F4</t>
    <phoneticPr fontId="1" type="noConversion"/>
  </si>
  <si>
    <t>F4</t>
    <phoneticPr fontId="1" type="noConversion"/>
  </si>
  <si>
    <t>Building2</t>
    <phoneticPr fontId="1" type="noConversion"/>
  </si>
  <si>
    <t>F1消防</t>
    <phoneticPr fontId="1" type="noConversion"/>
  </si>
  <si>
    <t>F1停车</t>
    <phoneticPr fontId="1" type="noConversion"/>
  </si>
  <si>
    <t>F1菜场</t>
    <phoneticPr fontId="1" type="noConversion"/>
  </si>
  <si>
    <t>F2停车</t>
    <phoneticPr fontId="1" type="noConversion"/>
  </si>
  <si>
    <t>F2菜场</t>
    <phoneticPr fontId="1" type="noConversion"/>
  </si>
  <si>
    <t>Building2</t>
    <phoneticPr fontId="1" type="noConversion"/>
  </si>
  <si>
    <t>F1车站</t>
    <phoneticPr fontId="1" type="noConversion"/>
  </si>
  <si>
    <t>F2车站</t>
    <phoneticPr fontId="1" type="noConversion"/>
  </si>
  <si>
    <t>邮局</t>
    <phoneticPr fontId="1" type="noConversion"/>
  </si>
  <si>
    <t>社区服务大厅</t>
    <phoneticPr fontId="1" type="noConversion"/>
  </si>
  <si>
    <t>F3超市</t>
    <phoneticPr fontId="1" type="noConversion"/>
  </si>
  <si>
    <t>F4超市</t>
    <phoneticPr fontId="1" type="noConversion"/>
  </si>
  <si>
    <t>Building2</t>
    <phoneticPr fontId="1" type="noConversion"/>
  </si>
  <si>
    <t>F3</t>
    <phoneticPr fontId="1" type="noConversion"/>
  </si>
  <si>
    <t>Building4</t>
    <phoneticPr fontId="1" type="noConversion"/>
  </si>
  <si>
    <t>Building3</t>
    <phoneticPr fontId="1" type="noConversion"/>
  </si>
  <si>
    <t>F2</t>
    <phoneticPr fontId="1" type="noConversion"/>
  </si>
  <si>
    <t>F5</t>
    <phoneticPr fontId="1" type="noConversion"/>
  </si>
  <si>
    <t>Cooling</t>
    <phoneticPr fontId="1" type="noConversion"/>
  </si>
  <si>
    <t>Heating</t>
    <phoneticPr fontId="1" type="noConversion"/>
  </si>
  <si>
    <t>DHW</t>
    <phoneticPr fontId="1" type="noConversion"/>
  </si>
  <si>
    <t>Equipment</t>
    <phoneticPr fontId="1" type="noConversion"/>
  </si>
  <si>
    <t>Lighting</t>
    <phoneticPr fontId="1" type="noConversion"/>
  </si>
  <si>
    <t>F1</t>
    <phoneticPr fontId="1" type="noConversion"/>
  </si>
  <si>
    <t>271,46</t>
    <phoneticPr fontId="1" type="noConversion"/>
  </si>
  <si>
    <t>Cooling</t>
    <phoneticPr fontId="1" type="noConversion"/>
  </si>
  <si>
    <t>Cooling</t>
    <phoneticPr fontId="1" type="noConversion"/>
  </si>
  <si>
    <t>Heating</t>
    <phoneticPr fontId="1" type="noConversion"/>
  </si>
  <si>
    <t>DHW</t>
    <phoneticPr fontId="1" type="noConversion"/>
  </si>
  <si>
    <t>Equipment</t>
    <phoneticPr fontId="1" type="noConversion"/>
  </si>
  <si>
    <t>Lighting</t>
    <phoneticPr fontId="1" type="noConversion"/>
  </si>
  <si>
    <t>社区办公</t>
    <phoneticPr fontId="1" type="noConversion"/>
  </si>
  <si>
    <t>Building3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</si>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</sst>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555555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商业与零售!$B$14:$F$14</c:f>
              <c:strCache>
                <c:ptCount val="5"/>
                <c:pt idx="0">
                  <c:v>Cooling</c:v>
                </c:pt>
                <c:pt idx="1">
                  <c:v>Heating</c:v>
                </c:pt>
                <c:pt idx="2">
                  <c:v>DHW</c:v>
                </c:pt>
                <c:pt idx="3">
                  <c:v>Equipment</c:v>
                </c:pt>
                <c:pt idx="4">
                  <c:v>Lighting</c:v>
                </c:pt>
              </c:strCache>
            </c:strRef>
          </c:cat>
          <c:val>
            <c:numRef>
              <c:f>商业与零售!$B$15:$F$15</c:f>
              <c:numCache>
                <c:formatCode>General</c:formatCode>
                <c:ptCount val="5"/>
                <c:pt idx="0">
                  <c:v>350187.80264307593</c:v>
                </c:pt>
                <c:pt idx="1">
                  <c:v>309641.91587881243</c:v>
                </c:pt>
                <c:pt idx="2">
                  <c:v>95565.0186538829</c:v>
                </c:pt>
                <c:pt idx="3">
                  <c:v>830934.84000000008</c:v>
                </c:pt>
                <c:pt idx="4">
                  <c:v>474750.80469900271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cat>
            <c:strRef>
              <c:f>医疗!$B$21:$F$21</c:f>
              <c:strCache>
                <c:ptCount val="5"/>
                <c:pt idx="0">
                  <c:v>Cooling</c:v>
                </c:pt>
                <c:pt idx="1">
                  <c:v>Heating</c:v>
                </c:pt>
                <c:pt idx="2">
                  <c:v>DHW</c:v>
                </c:pt>
                <c:pt idx="3">
                  <c:v>Equipment</c:v>
                </c:pt>
                <c:pt idx="4">
                  <c:v>Lighting</c:v>
                </c:pt>
              </c:strCache>
            </c:strRef>
          </c:cat>
          <c:val>
            <c:numRef>
              <c:f>医疗!$B$22:$F$22</c:f>
              <c:numCache>
                <c:formatCode>General</c:formatCode>
                <c:ptCount val="5"/>
                <c:pt idx="0">
                  <c:v>83798.223853672855</c:v>
                </c:pt>
                <c:pt idx="1">
                  <c:v>103664.93114944293</c:v>
                </c:pt>
                <c:pt idx="2">
                  <c:v>100514.42266810602</c:v>
                </c:pt>
                <c:pt idx="3">
                  <c:v>39750.82</c:v>
                </c:pt>
                <c:pt idx="4">
                  <c:v>86115.73464844111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养老!$B$8:$F$8</c:f>
              <c:strCache>
                <c:ptCount val="5"/>
                <c:pt idx="0">
                  <c:v>Cooling</c:v>
                </c:pt>
                <c:pt idx="1">
                  <c:v>Heating</c:v>
                </c:pt>
                <c:pt idx="2">
                  <c:v>DHW</c:v>
                </c:pt>
                <c:pt idx="3">
                  <c:v>Equipment</c:v>
                </c:pt>
                <c:pt idx="4">
                  <c:v>Lighting</c:v>
                </c:pt>
              </c:strCache>
            </c:strRef>
          </c:cat>
          <c:val>
            <c:numRef>
              <c:f>养老!$B$9:$F$9</c:f>
              <c:numCache>
                <c:formatCode>General</c:formatCode>
                <c:ptCount val="5"/>
                <c:pt idx="0">
                  <c:v>118122.76376773229</c:v>
                </c:pt>
                <c:pt idx="1">
                  <c:v>148928.9233991954</c:v>
                </c:pt>
                <c:pt idx="2">
                  <c:v>89364.13332839997</c:v>
                </c:pt>
                <c:pt idx="3">
                  <c:v>326791.77</c:v>
                </c:pt>
                <c:pt idx="4">
                  <c:v>142949.662403444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cat>
            <c:strRef>
              <c:f>文体活动!$B$11:$F$11</c:f>
              <c:strCache>
                <c:ptCount val="5"/>
                <c:pt idx="0">
                  <c:v>Cooling</c:v>
                </c:pt>
                <c:pt idx="1">
                  <c:v>Heating</c:v>
                </c:pt>
                <c:pt idx="2">
                  <c:v>DHW</c:v>
                </c:pt>
                <c:pt idx="3">
                  <c:v>Equipment</c:v>
                </c:pt>
                <c:pt idx="4">
                  <c:v>Lighting</c:v>
                </c:pt>
              </c:strCache>
            </c:strRef>
          </c:cat>
          <c:val>
            <c:numRef>
              <c:f>文体活动!$B$12:$F$12</c:f>
              <c:numCache>
                <c:formatCode>General</c:formatCode>
                <c:ptCount val="5"/>
                <c:pt idx="0">
                  <c:v>107488.59181921381</c:v>
                </c:pt>
                <c:pt idx="1">
                  <c:v>100476.44100283032</c:v>
                </c:pt>
                <c:pt idx="2">
                  <c:v>228396.75951302858</c:v>
                </c:pt>
                <c:pt idx="3">
                  <c:v>96474.079999999987</c:v>
                </c:pt>
                <c:pt idx="4">
                  <c:v>117716.64271852645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办公!$A$12:$E$12</c:f>
              <c:strCache>
                <c:ptCount val="5"/>
                <c:pt idx="0">
                  <c:v>Cooling</c:v>
                </c:pt>
                <c:pt idx="1">
                  <c:v>Heating</c:v>
                </c:pt>
                <c:pt idx="2">
                  <c:v>DHW</c:v>
                </c:pt>
                <c:pt idx="3">
                  <c:v>Equipment</c:v>
                </c:pt>
                <c:pt idx="4">
                  <c:v>Lighting</c:v>
                </c:pt>
              </c:strCache>
            </c:strRef>
          </c:cat>
          <c:val>
            <c:numRef>
              <c:f>办公!$A$13:$E$13</c:f>
              <c:numCache>
                <c:formatCode>General</c:formatCode>
                <c:ptCount val="5"/>
                <c:pt idx="0">
                  <c:v>67525.914728682168</c:v>
                </c:pt>
                <c:pt idx="1">
                  <c:v>36063.053963058454</c:v>
                </c:pt>
                <c:pt idx="2">
                  <c:v>3167.579511340296</c:v>
                </c:pt>
                <c:pt idx="3">
                  <c:v>106791.18000000001</c:v>
                </c:pt>
                <c:pt idx="4">
                  <c:v>114115.94300516334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cat>
            <c:strRef>
              <c:f>幼儿园!$B$6:$F$6</c:f>
              <c:strCache>
                <c:ptCount val="5"/>
                <c:pt idx="0">
                  <c:v>Cooling</c:v>
                </c:pt>
                <c:pt idx="1">
                  <c:v>Heating</c:v>
                </c:pt>
                <c:pt idx="2">
                  <c:v>DHW</c:v>
                </c:pt>
                <c:pt idx="3">
                  <c:v>Equipment</c:v>
                </c:pt>
                <c:pt idx="4">
                  <c:v>Lighting</c:v>
                </c:pt>
              </c:strCache>
            </c:strRef>
          </c:cat>
          <c:val>
            <c:numRef>
              <c:f>幼儿园!$B$7:$F$7</c:f>
              <c:numCache>
                <c:formatCode>General</c:formatCode>
                <c:ptCount val="5"/>
                <c:pt idx="0">
                  <c:v>10502.251937984496</c:v>
                </c:pt>
                <c:pt idx="1">
                  <c:v>2955.8362499999998</c:v>
                </c:pt>
                <c:pt idx="2">
                  <c:v>1214.2830726100042</c:v>
                </c:pt>
                <c:pt idx="3">
                  <c:v>2736.23</c:v>
                </c:pt>
                <c:pt idx="4">
                  <c:v>13052.5013839515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酒店!$A$10:$E$10</c:f>
              <c:strCache>
                <c:ptCount val="5"/>
                <c:pt idx="0">
                  <c:v>Cooling</c:v>
                </c:pt>
                <c:pt idx="1">
                  <c:v>Heating</c:v>
                </c:pt>
                <c:pt idx="2">
                  <c:v>DHW</c:v>
                </c:pt>
                <c:pt idx="3">
                  <c:v>Equipment</c:v>
                </c:pt>
                <c:pt idx="4">
                  <c:v>Lighting</c:v>
                </c:pt>
              </c:strCache>
            </c:strRef>
          </c:cat>
          <c:val>
            <c:numRef>
              <c:f>酒店!$A$11:$E$11</c:f>
              <c:numCache>
                <c:formatCode>General</c:formatCode>
                <c:ptCount val="5"/>
                <c:pt idx="0">
                  <c:v>139434.48387096776</c:v>
                </c:pt>
                <c:pt idx="1">
                  <c:v>63306.54583333333</c:v>
                </c:pt>
                <c:pt idx="2">
                  <c:v>281136.0665186402</c:v>
                </c:pt>
                <c:pt idx="3">
                  <c:v>181882.94</c:v>
                </c:pt>
                <c:pt idx="4">
                  <c:v>79740.464864973444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消防站!$B$15:$F$15</c:f>
              <c:strCache>
                <c:ptCount val="5"/>
                <c:pt idx="0">
                  <c:v>Cooling</c:v>
                </c:pt>
                <c:pt idx="1">
                  <c:v>Heating</c:v>
                </c:pt>
                <c:pt idx="2">
                  <c:v>DHW</c:v>
                </c:pt>
                <c:pt idx="3">
                  <c:v>Equipment</c:v>
                </c:pt>
                <c:pt idx="4">
                  <c:v>Lighting</c:v>
                </c:pt>
              </c:strCache>
            </c:strRef>
          </c:cat>
          <c:val>
            <c:numRef>
              <c:f>消防站!$B$16:$F$16</c:f>
              <c:numCache>
                <c:formatCode>General</c:formatCode>
                <c:ptCount val="5"/>
                <c:pt idx="0">
                  <c:v>39111.212454184148</c:v>
                </c:pt>
                <c:pt idx="1">
                  <c:v>23024.980727462676</c:v>
                </c:pt>
                <c:pt idx="2">
                  <c:v>49826.375739392926</c:v>
                </c:pt>
                <c:pt idx="3">
                  <c:v>80622.10500000001</c:v>
                </c:pt>
                <c:pt idx="4">
                  <c:v>38973.711336549328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cat>
            <c:strRef>
              <c:f>公共服务设施!$B$7:$F$7</c:f>
              <c:strCache>
                <c:ptCount val="5"/>
                <c:pt idx="0">
                  <c:v>Cooling</c:v>
                </c:pt>
                <c:pt idx="1">
                  <c:v>Heating</c:v>
                </c:pt>
                <c:pt idx="2">
                  <c:v>DHW</c:v>
                </c:pt>
                <c:pt idx="3">
                  <c:v>Equipment</c:v>
                </c:pt>
                <c:pt idx="4">
                  <c:v>Lighting</c:v>
                </c:pt>
              </c:strCache>
            </c:strRef>
          </c:cat>
          <c:val>
            <c:numRef>
              <c:f>公共服务设施!$B$8:$F$8</c:f>
              <c:numCache>
                <c:formatCode>General</c:formatCode>
                <c:ptCount val="5"/>
                <c:pt idx="0">
                  <c:v>8527.3682170542634</c:v>
                </c:pt>
                <c:pt idx="1">
                  <c:v>2505.3250000000003</c:v>
                </c:pt>
                <c:pt idx="2">
                  <c:v>0</c:v>
                </c:pt>
                <c:pt idx="3">
                  <c:v>12442.53</c:v>
                </c:pt>
                <c:pt idx="4">
                  <c:v>20698.543255000979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342899</xdr:colOff>
      <xdr:row>3</xdr:row>
      <xdr:rowOff>47624</xdr:rowOff>
    </xdr:from>
    <xdr:to>
      <xdr:col>19</xdr:col>
      <xdr:colOff>219074</xdr:colOff>
      <xdr:row>25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21</xdr:row>
      <xdr:rowOff>133350</xdr:rowOff>
    </xdr:from>
    <xdr:to>
      <xdr:col>13</xdr:col>
      <xdr:colOff>676275</xdr:colOff>
      <xdr:row>36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85725</xdr:rowOff>
    </xdr:from>
    <xdr:to>
      <xdr:col>17</xdr:col>
      <xdr:colOff>457200</xdr:colOff>
      <xdr:row>16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5</xdr:row>
      <xdr:rowOff>19050</xdr:rowOff>
    </xdr:from>
    <xdr:to>
      <xdr:col>16</xdr:col>
      <xdr:colOff>447675</xdr:colOff>
      <xdr:row>20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6</xdr:row>
      <xdr:rowOff>47625</xdr:rowOff>
    </xdr:from>
    <xdr:to>
      <xdr:col>17</xdr:col>
      <xdr:colOff>133350</xdr:colOff>
      <xdr:row>21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5</xdr:row>
      <xdr:rowOff>57150</xdr:rowOff>
    </xdr:from>
    <xdr:to>
      <xdr:col>16</xdr:col>
      <xdr:colOff>466725</xdr:colOff>
      <xdr:row>20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57150</xdr:rowOff>
    </xdr:from>
    <xdr:to>
      <xdr:col>17</xdr:col>
      <xdr:colOff>476250</xdr:colOff>
      <xdr:row>18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9</xdr:row>
      <xdr:rowOff>38100</xdr:rowOff>
    </xdr:from>
    <xdr:to>
      <xdr:col>15</xdr:col>
      <xdr:colOff>438150</xdr:colOff>
      <xdr:row>24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9</xdr:row>
      <xdr:rowOff>47625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Q32" sqref="Q32"/>
    </sheetView>
  </sheetViews>
  <sheetFormatPr defaultRowHeight="14.25"/>
  <sheetData>
    <row r="1" spans="1:9">
      <c r="A1" t="s">
        <v>0</v>
      </c>
    </row>
    <row r="2" spans="1:9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9">
      <c r="A3" t="s">
        <v>1</v>
      </c>
      <c r="B3" s="1">
        <v>29958.955286151799</v>
      </c>
      <c r="C3">
        <v>20845.433818218698</v>
      </c>
      <c r="D3">
        <v>19834.298653882899</v>
      </c>
      <c r="E3">
        <v>6490.36</v>
      </c>
      <c r="F3">
        <v>21634.533199002701</v>
      </c>
      <c r="G3">
        <v>0</v>
      </c>
      <c r="H3" s="2">
        <v>0.1</v>
      </c>
    </row>
    <row r="4" spans="1:9">
      <c r="A4" t="s">
        <v>18</v>
      </c>
    </row>
    <row r="5" spans="1:9">
      <c r="A5" t="s">
        <v>19</v>
      </c>
      <c r="B5">
        <v>15540</v>
      </c>
      <c r="C5">
        <v>5054.6000000000004</v>
      </c>
      <c r="D5">
        <v>5379</v>
      </c>
      <c r="E5">
        <v>2788.72</v>
      </c>
      <c r="F5">
        <v>9295.7415000000001</v>
      </c>
      <c r="G5">
        <v>0</v>
      </c>
    </row>
    <row r="6" spans="1:9">
      <c r="A6" t="s">
        <v>20</v>
      </c>
      <c r="B6">
        <v>18670.52</v>
      </c>
      <c r="C6">
        <v>15179.39</v>
      </c>
      <c r="D6">
        <v>2739.41</v>
      </c>
      <c r="E6">
        <v>4324.1899999999996</v>
      </c>
      <c r="F6">
        <v>14413</v>
      </c>
      <c r="I6">
        <v>607.29</v>
      </c>
    </row>
    <row r="7" spans="1:9">
      <c r="A7" t="s">
        <v>21</v>
      </c>
      <c r="D7">
        <v>0</v>
      </c>
      <c r="E7" s="3">
        <v>165381.70000000001</v>
      </c>
      <c r="F7">
        <v>37210</v>
      </c>
      <c r="I7">
        <v>755.17</v>
      </c>
    </row>
    <row r="8" spans="1:9">
      <c r="A8" t="s">
        <v>22</v>
      </c>
      <c r="B8">
        <v>106996.33</v>
      </c>
      <c r="C8">
        <v>124315.45</v>
      </c>
      <c r="D8">
        <v>1871.31</v>
      </c>
      <c r="E8">
        <v>57691.03</v>
      </c>
      <c r="F8">
        <v>140336.29999999999</v>
      </c>
      <c r="I8">
        <v>2848.02</v>
      </c>
    </row>
    <row r="9" spans="1:9">
      <c r="A9" t="s">
        <v>23</v>
      </c>
      <c r="B9">
        <v>330058</v>
      </c>
      <c r="C9">
        <v>61807</v>
      </c>
      <c r="D9">
        <v>0</v>
      </c>
      <c r="E9" s="3">
        <v>537040.43000000005</v>
      </c>
      <c r="F9">
        <v>134968.19</v>
      </c>
      <c r="I9">
        <v>2452.2399999999998</v>
      </c>
    </row>
    <row r="10" spans="1:9">
      <c r="A10" t="s">
        <v>33</v>
      </c>
    </row>
    <row r="11" spans="1:9">
      <c r="B11" s="3">
        <v>99575.9</v>
      </c>
      <c r="C11">
        <v>158174</v>
      </c>
      <c r="D11">
        <v>65741</v>
      </c>
      <c r="E11" s="3">
        <v>57218.41</v>
      </c>
      <c r="F11" s="3">
        <v>116893.04</v>
      </c>
      <c r="I11">
        <v>8844.07</v>
      </c>
    </row>
    <row r="12" spans="1:9">
      <c r="A12" t="s">
        <v>51</v>
      </c>
    </row>
    <row r="13" spans="1:9">
      <c r="A13" t="s">
        <v>52</v>
      </c>
      <c r="B13">
        <v>49099.770739791929</v>
      </c>
      <c r="C13">
        <v>37886.414378324589</v>
      </c>
      <c r="D13">
        <v>26779.738914101708</v>
      </c>
      <c r="E13">
        <v>18194.890000000003</v>
      </c>
      <c r="F13">
        <v>37147.443022199113</v>
      </c>
      <c r="I13">
        <v>1568.35</v>
      </c>
    </row>
    <row r="14" spans="1:9">
      <c r="B14" t="s">
        <v>37</v>
      </c>
      <c r="C14" t="s">
        <v>38</v>
      </c>
      <c r="D14" t="s">
        <v>39</v>
      </c>
      <c r="E14" t="s">
        <v>40</v>
      </c>
      <c r="F14" t="s">
        <v>41</v>
      </c>
      <c r="I14">
        <f>(SUM(B3:B9)+B13)/2.58+B11+(SUM(C3:C9)+C13)/2.2+C11+(SUM(D3:D9)+D13)/2.2+D11+SUM(E3:E13)+SUM(F3:F13)</f>
        <v>2044046.246524859</v>
      </c>
    </row>
    <row r="15" spans="1:9">
      <c r="B15">
        <f>SUM(B3:B9)/2+B11</f>
        <v>350187.80264307593</v>
      </c>
      <c r="C15">
        <f>SUM(C3:C9)/1.5+C11</f>
        <v>309641.91587881243</v>
      </c>
      <c r="D15">
        <f>SUM(D3:D11)</f>
        <v>95565.0186538829</v>
      </c>
      <c r="E15">
        <f>SUM(E3:E11)</f>
        <v>830934.84000000008</v>
      </c>
      <c r="F15">
        <f>SUM(F3:F11)</f>
        <v>474750.80469900271</v>
      </c>
      <c r="I15">
        <f>I14/SUM(I6:I13)</f>
        <v>119.70890115834243</v>
      </c>
    </row>
    <row r="16" spans="1:9">
      <c r="E16">
        <f>E15/SUM(I6:I11)</f>
        <v>53.585225568928202</v>
      </c>
      <c r="F16">
        <f>F15/SUM(I6:I11)</f>
        <v>30.615672534354481</v>
      </c>
    </row>
    <row r="22" spans="1:10">
      <c r="A22" s="1">
        <v>22536.241829555402</v>
      </c>
      <c r="B22" s="1">
        <v>22465.320319785202</v>
      </c>
      <c r="C22" s="1">
        <v>583.51605747990004</v>
      </c>
      <c r="D22" s="1">
        <v>2958.4757095642599</v>
      </c>
      <c r="E22" s="1">
        <v>5.3355993811443798E-2</v>
      </c>
      <c r="F22" s="1">
        <v>0</v>
      </c>
      <c r="G22" s="1">
        <v>1.31445346527408</v>
      </c>
      <c r="H22" s="1">
        <v>0</v>
      </c>
      <c r="I22" s="1">
        <v>554.84901394807196</v>
      </c>
      <c r="J22">
        <f>SUM(A22:I22)</f>
        <v>49099.770739791929</v>
      </c>
    </row>
    <row r="23" spans="1:10">
      <c r="A23" s="1">
        <v>4083.84965823126</v>
      </c>
      <c r="B23" s="1">
        <v>21938.779987632399</v>
      </c>
      <c r="C23" s="1">
        <v>159.19463303075599</v>
      </c>
      <c r="D23" s="1">
        <v>136.524081500271</v>
      </c>
      <c r="E23" s="1">
        <v>9596.3611533492694</v>
      </c>
      <c r="F23" s="1">
        <v>512.14168955514799</v>
      </c>
      <c r="G23" s="1">
        <v>1459.56317502549</v>
      </c>
      <c r="H23">
        <f>SUM(A23:G23)</f>
        <v>37886.414378324589</v>
      </c>
    </row>
    <row r="24" spans="1:10">
      <c r="A24" s="1">
        <v>3995.48581549969</v>
      </c>
      <c r="B24" s="1">
        <v>25398.821126499599</v>
      </c>
      <c r="C24" s="1">
        <v>96.720074999998204</v>
      </c>
      <c r="D24" s="1">
        <v>496.51126199996202</v>
      </c>
      <c r="E24" s="1">
        <v>86.515460199999097</v>
      </c>
      <c r="F24" s="1">
        <v>6242.0885279998902</v>
      </c>
      <c r="G24" s="1">
        <v>437.278711999991</v>
      </c>
      <c r="H24" s="1">
        <v>394.02204299998198</v>
      </c>
      <c r="I24">
        <f>SUM(A24:H24)</f>
        <v>37147.443022199113</v>
      </c>
    </row>
    <row r="25" spans="1:10">
      <c r="A25" s="1">
        <v>341.60261618069597</v>
      </c>
      <c r="B25" s="1">
        <v>1253.8534313917</v>
      </c>
      <c r="C25" s="1">
        <v>3423.2226393995102</v>
      </c>
      <c r="D25" s="1">
        <v>21761.060227129801</v>
      </c>
      <c r="E25">
        <f>SUM(A25:D25)</f>
        <v>26779.738914101708</v>
      </c>
    </row>
    <row r="26" spans="1:10">
      <c r="A26" s="3">
        <v>1198.6500000000001</v>
      </c>
      <c r="B26" s="3">
        <v>7619.65</v>
      </c>
      <c r="C26" s="3">
        <v>535.78</v>
      </c>
      <c r="D26" s="3">
        <v>33.450000000000003</v>
      </c>
      <c r="E26" s="3">
        <v>8638.27</v>
      </c>
      <c r="F26" s="3">
        <v>169.09</v>
      </c>
      <c r="G26">
        <f>SUM(A26:F26)</f>
        <v>18194.890000000003</v>
      </c>
    </row>
    <row r="27" spans="1:10">
      <c r="A27" s="1">
        <v>1070.0999999999999</v>
      </c>
      <c r="B27" s="1">
        <v>168.34</v>
      </c>
      <c r="C27" s="1">
        <v>11.84</v>
      </c>
      <c r="D27" s="1">
        <v>59.85</v>
      </c>
      <c r="E27" s="1">
        <v>199.3</v>
      </c>
      <c r="F27" s="1">
        <v>29.65</v>
      </c>
      <c r="G27" s="1">
        <v>29.27</v>
      </c>
      <c r="H27">
        <f>SUM(A27:G27)</f>
        <v>1568.3499999999997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N19" sqref="N19"/>
    </sheetView>
  </sheetViews>
  <sheetFormatPr defaultRowHeight="14.25"/>
  <cols>
    <col min="2" max="2" width="11.75" customWidth="1"/>
    <col min="9" max="9" width="15.625" customWidth="1"/>
  </cols>
  <sheetData>
    <row r="1" spans="1:12">
      <c r="A1" t="s">
        <v>10</v>
      </c>
    </row>
    <row r="2" spans="1:1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2">
      <c r="A3" t="s">
        <v>1</v>
      </c>
      <c r="B3">
        <v>71345.101805149112</v>
      </c>
      <c r="C3">
        <v>28245.717630328731</v>
      </c>
      <c r="D3">
        <v>93630.211588462262</v>
      </c>
      <c r="E3">
        <v>8769.0500000000011</v>
      </c>
      <c r="F3">
        <v>31932.811738750232</v>
      </c>
      <c r="G3">
        <v>0</v>
      </c>
      <c r="H3" s="2">
        <v>0.1</v>
      </c>
    </row>
    <row r="4" spans="1:12">
      <c r="A4" t="s">
        <v>9</v>
      </c>
      <c r="B4">
        <v>144854.31573732686</v>
      </c>
      <c r="C4">
        <v>179084.14466855713</v>
      </c>
      <c r="D4">
        <v>57141.422413696768</v>
      </c>
      <c r="E4">
        <v>30981.769999999997</v>
      </c>
      <c r="F4">
        <f>E15+F15+H15+G15+I15+J15+K15</f>
        <v>54182.922909690882</v>
      </c>
      <c r="G4">
        <v>0</v>
      </c>
      <c r="H4">
        <f>61/176</f>
        <v>0.34659090909090912</v>
      </c>
    </row>
    <row r="5" spans="1:12">
      <c r="I5">
        <f>SUM(B3:B4)/2.58+SUM(C3:C4)/2+SUM(D3:D4)/1.5+E3+E4+F3+F4</f>
        <v>413844.13231966295</v>
      </c>
    </row>
    <row r="6" spans="1:12">
      <c r="I6">
        <f>I5/N19</f>
        <v>89.3841471980611</v>
      </c>
    </row>
    <row r="8" spans="1:12">
      <c r="B8" s="1">
        <v>10538.034063212501</v>
      </c>
      <c r="C8" s="1">
        <v>38001.221584646701</v>
      </c>
      <c r="D8" s="1">
        <v>16430.7572002622</v>
      </c>
      <c r="E8" s="1">
        <v>6375.0889570277104</v>
      </c>
      <c r="F8">
        <v>71345.101805149112</v>
      </c>
    </row>
    <row r="9" spans="1:12">
      <c r="B9" s="1">
        <v>17788.3272280007</v>
      </c>
      <c r="C9" s="1">
        <v>2821.07935274997</v>
      </c>
      <c r="D9" s="1">
        <v>7108.7802049993097</v>
      </c>
      <c r="E9" s="1">
        <v>4214.6249530002497</v>
      </c>
      <c r="F9">
        <f>B9+C9+D9+E9</f>
        <v>31932.811738750232</v>
      </c>
    </row>
    <row r="10" spans="1:12">
      <c r="B10" s="3">
        <v>1157.3800000000001</v>
      </c>
      <c r="C10" s="3">
        <v>4884.84</v>
      </c>
      <c r="D10" s="3">
        <v>1952.14</v>
      </c>
      <c r="E10" s="3">
        <v>774.69</v>
      </c>
      <c r="F10">
        <f>B10+C10+D10+E10</f>
        <v>8769.0500000000011</v>
      </c>
    </row>
    <row r="11" spans="1:12">
      <c r="B11" s="1">
        <v>8271.6989968060607</v>
      </c>
      <c r="C11" s="1">
        <v>20843.660974473802</v>
      </c>
      <c r="D11" s="1">
        <v>52157.140115178401</v>
      </c>
      <c r="E11" s="1">
        <v>12357.711502004</v>
      </c>
      <c r="F11">
        <f>B11+C11+D11+E11</f>
        <v>93630.211588462262</v>
      </c>
    </row>
    <row r="12" spans="1:12">
      <c r="B12" s="1">
        <v>55307.470506727303</v>
      </c>
      <c r="C12" s="1">
        <v>10768.663485409899</v>
      </c>
      <c r="D12" s="1">
        <v>10016.405020616599</v>
      </c>
      <c r="E12" s="1">
        <v>16529.8803322202</v>
      </c>
      <c r="F12" s="1">
        <v>26365.797739217502</v>
      </c>
      <c r="G12" s="1">
        <v>22454.495225052098</v>
      </c>
      <c r="H12" s="1">
        <v>3411.60342808327</v>
      </c>
      <c r="I12">
        <f>SUM(B12:H12)</f>
        <v>144854.31573732686</v>
      </c>
    </row>
    <row r="13" spans="1:12">
      <c r="B13" s="1">
        <v>55307.470506727303</v>
      </c>
      <c r="C13" s="1">
        <v>40054.100030190602</v>
      </c>
      <c r="D13" s="1">
        <v>5266.4128807703801</v>
      </c>
      <c r="E13" s="1">
        <v>16889.426669444601</v>
      </c>
      <c r="F13" s="1">
        <v>24523.395796773599</v>
      </c>
      <c r="G13" s="1">
        <v>4812.7190338955897</v>
      </c>
      <c r="H13" s="1">
        <v>27207.393070748101</v>
      </c>
      <c r="I13" s="1">
        <v>5023.2266800069501</v>
      </c>
      <c r="J13">
        <f>SUM(B13:I13)</f>
        <v>179084.14466855713</v>
      </c>
    </row>
    <row r="14" spans="1:12">
      <c r="B14" s="1">
        <v>34201.522760359701</v>
      </c>
      <c r="C14" s="1">
        <v>64205.985251357102</v>
      </c>
      <c r="D14" s="1">
        <v>97569.763002185704</v>
      </c>
      <c r="E14">
        <f>SUM(E8:E13)</f>
        <v>57141.422413696768</v>
      </c>
    </row>
    <row r="15" spans="1:12">
      <c r="B15" s="1">
        <v>34201.522760359701</v>
      </c>
      <c r="C15" s="1">
        <v>64205.985251357102</v>
      </c>
      <c r="D15" s="1">
        <v>97569.763002185704</v>
      </c>
      <c r="E15" s="1">
        <v>37305.744961497003</v>
      </c>
      <c r="F15" s="1">
        <v>3047.49256093753</v>
      </c>
      <c r="G15" s="1">
        <v>3754.1004279998701</v>
      </c>
      <c r="H15" s="1">
        <v>3889.6139425003898</v>
      </c>
      <c r="I15" s="1">
        <v>2005.4097476561899</v>
      </c>
      <c r="J15" s="1">
        <v>1120.3100190999</v>
      </c>
      <c r="K15" s="1">
        <v>3060.2512499999998</v>
      </c>
      <c r="L15">
        <f>SUM(B15:K15)</f>
        <v>250160.19392359338</v>
      </c>
    </row>
    <row r="16" spans="1:12">
      <c r="B16" s="3">
        <v>923.41</v>
      </c>
      <c r="C16" s="3">
        <v>11191.72</v>
      </c>
      <c r="D16" s="3">
        <v>3476.41</v>
      </c>
      <c r="E16" s="3">
        <v>2287.66</v>
      </c>
      <c r="F16" s="3">
        <v>2448.1999999999998</v>
      </c>
      <c r="G16" s="3">
        <v>5421.63</v>
      </c>
      <c r="H16" s="3">
        <v>5232.74</v>
      </c>
      <c r="I16">
        <f>SUM(B16:H16)</f>
        <v>30981.769999999997</v>
      </c>
    </row>
    <row r="19" spans="2:14">
      <c r="B19" s="3">
        <v>907.63</v>
      </c>
      <c r="C19" s="3">
        <v>117.64</v>
      </c>
      <c r="D19" s="3">
        <v>215.05</v>
      </c>
      <c r="E19" s="3">
        <v>362.72</v>
      </c>
      <c r="F19" s="3">
        <v>143.94</v>
      </c>
      <c r="G19" s="3">
        <v>71.45</v>
      </c>
      <c r="H19" s="3">
        <v>1571.76</v>
      </c>
      <c r="I19" s="3">
        <v>411.04</v>
      </c>
      <c r="J19" s="3">
        <v>270.49</v>
      </c>
      <c r="K19" s="3">
        <v>139.74</v>
      </c>
      <c r="L19" s="3">
        <v>212.95</v>
      </c>
      <c r="M19" s="3">
        <v>205.54</v>
      </c>
      <c r="N19">
        <f>SUM(B19:M19)</f>
        <v>4629.95</v>
      </c>
    </row>
    <row r="21" spans="2:14">
      <c r="B21" t="s">
        <v>37</v>
      </c>
      <c r="C21" t="s">
        <v>38</v>
      </c>
      <c r="D21" t="s">
        <v>39</v>
      </c>
      <c r="E21" t="s">
        <v>40</v>
      </c>
      <c r="F21" t="s">
        <v>41</v>
      </c>
    </row>
    <row r="22" spans="2:14">
      <c r="B22">
        <f>SUM(B3:B4)/2.58</f>
        <v>83798.223853672855</v>
      </c>
      <c r="C22">
        <f>SUM(C3:C4)/2</f>
        <v>103664.93114944293</v>
      </c>
      <c r="D22">
        <f>SUM(D3:D4)/1.5</f>
        <v>100514.42266810602</v>
      </c>
      <c r="E22">
        <f>SUM(E3:E4)</f>
        <v>39750.82</v>
      </c>
      <c r="F22">
        <f>SUM(F3:F4)</f>
        <v>86115.73464844111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>
      <selection activeCell="B6" sqref="B6"/>
    </sheetView>
  </sheetViews>
  <sheetFormatPr defaultRowHeight="14.25"/>
  <sheetData>
    <row r="1" spans="1:8">
      <c r="A1" t="s">
        <v>11</v>
      </c>
    </row>
    <row r="2" spans="1:8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12</v>
      </c>
      <c r="B3">
        <v>472491.05507092917</v>
      </c>
      <c r="C3">
        <v>491465.44721734477</v>
      </c>
      <c r="D3">
        <v>268092.39998519991</v>
      </c>
      <c r="E3">
        <v>109004.37999999998</v>
      </c>
      <c r="F3">
        <v>142949.662403444</v>
      </c>
      <c r="G3">
        <v>217787.39</v>
      </c>
      <c r="H3">
        <f>138.288/612.3</f>
        <v>0.22585007349338562</v>
      </c>
    </row>
    <row r="5" spans="1:8">
      <c r="A5" t="s">
        <v>13</v>
      </c>
      <c r="B5">
        <f>B3/4.5+C3/5+D3/5+E3+F3+G3</f>
        <v>726651.01408193726</v>
      </c>
    </row>
    <row r="6" spans="1:8">
      <c r="B6">
        <f>B5/4555.6</f>
        <v>159.50720302088357</v>
      </c>
    </row>
    <row r="8" spans="1:8"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8">
      <c r="B9">
        <f>B3/4</f>
        <v>118122.76376773229</v>
      </c>
      <c r="C9">
        <f>C3/3.3</f>
        <v>148928.9233991954</v>
      </c>
      <c r="D9">
        <f>D3/3</f>
        <v>89364.13332839997</v>
      </c>
      <c r="E9">
        <f>E3+G3</f>
        <v>326791.77</v>
      </c>
      <c r="F9">
        <f>F3</f>
        <v>142949.662403444</v>
      </c>
    </row>
    <row r="20" spans="1:32">
      <c r="A20" s="1">
        <v>34201.522760359701</v>
      </c>
      <c r="B20" s="1">
        <v>64205.985251357102</v>
      </c>
      <c r="C20" s="1">
        <v>97569.763002185704</v>
      </c>
      <c r="D20" s="1">
        <v>8382.3181620516898</v>
      </c>
      <c r="E20" s="1">
        <v>7642.6473571955903</v>
      </c>
      <c r="F20" s="1">
        <v>26476.4567945659</v>
      </c>
      <c r="G20" s="1">
        <v>7141.5468019927202</v>
      </c>
      <c r="H20" s="1">
        <v>8268.3377644930406</v>
      </c>
      <c r="I20" s="1">
        <v>10498.6672548141</v>
      </c>
      <c r="J20" s="1">
        <v>44981.831623940299</v>
      </c>
      <c r="K20" s="1">
        <v>35064.374575363501</v>
      </c>
      <c r="L20" s="1">
        <v>37.605057824613397</v>
      </c>
      <c r="M20" s="1">
        <v>0</v>
      </c>
      <c r="N20" s="1">
        <v>6523.6904347038599</v>
      </c>
      <c r="O20" s="1">
        <v>27.4965416860279</v>
      </c>
      <c r="P20" s="1">
        <v>44676.422227734904</v>
      </c>
      <c r="Q20" s="1">
        <v>34176.155521564098</v>
      </c>
      <c r="R20" s="1">
        <v>9292.8348480758705</v>
      </c>
      <c r="S20" s="1">
        <v>6799.8743232206498</v>
      </c>
      <c r="T20" s="1">
        <v>10935.735624442201</v>
      </c>
      <c r="U20" s="1">
        <v>7260.9712173690896</v>
      </c>
      <c r="V20" s="1">
        <v>0</v>
      </c>
      <c r="W20" s="1">
        <v>8326.8179259884491</v>
      </c>
      <c r="X20">
        <f>SUM(A20:W20)</f>
        <v>472491.05507092917</v>
      </c>
    </row>
    <row r="21" spans="1:32">
      <c r="A21" s="1">
        <v>34201.522760359701</v>
      </c>
      <c r="B21" s="1">
        <v>64205.985251357102</v>
      </c>
      <c r="C21" s="1">
        <v>97569.763002185704</v>
      </c>
      <c r="D21" s="1">
        <v>14339.9144309399</v>
      </c>
      <c r="E21" s="1">
        <v>46.192527981927</v>
      </c>
      <c r="F21" s="1">
        <v>14034.684771882399</v>
      </c>
      <c r="G21" s="1">
        <v>4151.4118892279803</v>
      </c>
      <c r="H21" s="1">
        <v>2024.66180603048</v>
      </c>
      <c r="I21" s="1">
        <v>8333.6993265390902</v>
      </c>
      <c r="J21" s="1">
        <v>5006.6932031158904</v>
      </c>
      <c r="K21" s="1">
        <v>8895.7327487500897</v>
      </c>
      <c r="L21" s="1">
        <v>71189.138521870802</v>
      </c>
      <c r="M21" s="1">
        <v>40.9637841559937</v>
      </c>
      <c r="N21" s="1">
        <v>30791.147772251799</v>
      </c>
      <c r="O21" s="1">
        <v>4194.0868165177299</v>
      </c>
      <c r="P21" s="1">
        <v>13131.043899654</v>
      </c>
      <c r="Q21" s="1">
        <v>8905.9252279972898</v>
      </c>
      <c r="R21" s="1">
        <v>8398.7544173848291</v>
      </c>
      <c r="S21" s="1">
        <v>68498.8579544159</v>
      </c>
      <c r="T21" s="1">
        <v>11616.8396972186</v>
      </c>
      <c r="U21" s="1">
        <v>9107.1960656208394</v>
      </c>
      <c r="V21" s="1">
        <v>11033.7191665017</v>
      </c>
      <c r="W21" s="1">
        <v>1747.5121753849701</v>
      </c>
      <c r="X21">
        <f>SUM(A21:W21)</f>
        <v>491465.44721734477</v>
      </c>
    </row>
    <row r="22" spans="1:3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944.28233999998804</v>
      </c>
      <c r="N22" s="1">
        <v>3503.6105649999399</v>
      </c>
      <c r="O22" s="1">
        <v>486.93759400003597</v>
      </c>
      <c r="P22" s="1">
        <v>4271.3025840002401</v>
      </c>
      <c r="Q22" s="1">
        <v>2319.3130582998201</v>
      </c>
      <c r="R22" s="1">
        <v>1745.3827103999899</v>
      </c>
      <c r="S22" s="1">
        <v>1915.9338971498601</v>
      </c>
      <c r="T22" s="1">
        <v>14346.6283700976</v>
      </c>
      <c r="U22" s="1">
        <v>3129.09152750047</v>
      </c>
      <c r="V22" s="1">
        <v>379.99022624998099</v>
      </c>
      <c r="W22" s="1">
        <v>3003.9168599999498</v>
      </c>
      <c r="X22" s="1">
        <v>494.75501399999598</v>
      </c>
      <c r="Y22" s="1">
        <v>3144.9732250003299</v>
      </c>
      <c r="Z22" s="1">
        <v>3786.1563149997501</v>
      </c>
      <c r="AA22" s="1">
        <v>2445.3916406252501</v>
      </c>
      <c r="AB22" s="1">
        <v>2435.9693592499402</v>
      </c>
      <c r="AC22" s="1">
        <v>1537.7467504000199</v>
      </c>
      <c r="AD22" s="1">
        <v>13532.916492300499</v>
      </c>
      <c r="AE22" s="1">
        <v>2087.06879080012</v>
      </c>
      <c r="AF22">
        <f>SUM(A22:AE22)</f>
        <v>65511.367320073776</v>
      </c>
    </row>
    <row r="24" spans="1:32">
      <c r="A24" s="1">
        <v>706.12992661184899</v>
      </c>
      <c r="B24" s="1">
        <v>107.531751028088</v>
      </c>
      <c r="C24" s="1">
        <v>44267.999189432398</v>
      </c>
      <c r="D24" s="1">
        <v>486.43527459965298</v>
      </c>
      <c r="E24" s="1">
        <v>49194.049159460403</v>
      </c>
      <c r="F24" s="1">
        <v>37020.641484328502</v>
      </c>
      <c r="G24" s="1">
        <v>40638.159640960803</v>
      </c>
      <c r="H24" s="1">
        <v>32616.551165172601</v>
      </c>
      <c r="I24" s="1">
        <v>342.09657816324199</v>
      </c>
      <c r="J24" s="1">
        <v>10341.851912464799</v>
      </c>
      <c r="K24" s="1">
        <v>51668.397078699803</v>
      </c>
      <c r="L24" s="1">
        <v>702.556824277788</v>
      </c>
      <c r="M24">
        <f>SUM(A24:L24)</f>
        <v>268092.39998519991</v>
      </c>
    </row>
    <row r="26" spans="1:32">
      <c r="A26" s="3">
        <v>11154.49</v>
      </c>
      <c r="B26" s="3">
        <v>1494.34</v>
      </c>
      <c r="C26">
        <v>1101.03</v>
      </c>
      <c r="D26">
        <v>1744.15</v>
      </c>
      <c r="E26">
        <v>9077.2900000000009</v>
      </c>
      <c r="F26">
        <v>18510.099999999999</v>
      </c>
      <c r="G26">
        <v>191.31</v>
      </c>
      <c r="H26">
        <v>8349.41</v>
      </c>
      <c r="I26">
        <v>10856.26</v>
      </c>
      <c r="J26">
        <v>11825.19</v>
      </c>
      <c r="K26">
        <v>1371.81</v>
      </c>
      <c r="L26">
        <v>1249.69</v>
      </c>
      <c r="M26">
        <v>1660.63</v>
      </c>
      <c r="N26">
        <v>11821.9</v>
      </c>
      <c r="O26">
        <v>188.29</v>
      </c>
      <c r="P26">
        <v>4883.59</v>
      </c>
      <c r="Q26">
        <v>2613.54</v>
      </c>
      <c r="R26">
        <v>10911.36</v>
      </c>
      <c r="S26">
        <f>SUM(A26:R26)</f>
        <v>109004.37999999998</v>
      </c>
    </row>
    <row r="28" spans="1:32">
      <c r="A28">
        <v>108618.05</v>
      </c>
      <c r="B28" s="3">
        <v>109169.34</v>
      </c>
      <c r="C28">
        <f>A28+B28</f>
        <v>217787.39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A28" sqref="A28"/>
    </sheetView>
  </sheetViews>
  <sheetFormatPr defaultRowHeight="14.25"/>
  <cols>
    <col min="8" max="8" width="12.125" bestFit="1" customWidth="1"/>
  </cols>
  <sheetData>
    <row r="1" spans="1:8">
      <c r="A1" t="s">
        <v>14</v>
      </c>
    </row>
    <row r="2" spans="1:8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15</v>
      </c>
      <c r="B3">
        <v>110299.17689357165</v>
      </c>
      <c r="C3" s="1">
        <v>71178.510206226725</v>
      </c>
      <c r="D3">
        <v>10105.603432055344</v>
      </c>
      <c r="E3">
        <v>47580.19</v>
      </c>
      <c r="F3">
        <v>33864.91565335021</v>
      </c>
      <c r="G3">
        <v>0</v>
      </c>
    </row>
    <row r="5" spans="1:8">
      <c r="A5" t="s">
        <v>16</v>
      </c>
    </row>
    <row r="6" spans="1:8">
      <c r="A6" t="s">
        <v>17</v>
      </c>
      <c r="B6">
        <v>115530</v>
      </c>
      <c r="C6">
        <v>87250</v>
      </c>
      <c r="D6">
        <v>582834.69049761281</v>
      </c>
      <c r="E6">
        <v>42818.52</v>
      </c>
      <c r="F6">
        <v>42164.280951525849</v>
      </c>
      <c r="G6">
        <v>0</v>
      </c>
      <c r="H6">
        <f>52.16/115</f>
        <v>0.45356521739130434</v>
      </c>
    </row>
    <row r="7" spans="1:8">
      <c r="A7" t="s">
        <v>15</v>
      </c>
      <c r="B7">
        <v>51491.39</v>
      </c>
      <c r="C7">
        <v>62619.66</v>
      </c>
      <c r="D7">
        <v>891.28080420614697</v>
      </c>
      <c r="E7">
        <v>6075.3700000000008</v>
      </c>
      <c r="F7">
        <v>41687.446113650403</v>
      </c>
    </row>
    <row r="8" spans="1:8">
      <c r="H8">
        <f>SUM(B3:B7)/2.58+SUM(C3:D7)/2+E3+E6+E7+F3+F6+F7</f>
        <v>729119.1870077909</v>
      </c>
    </row>
    <row r="9" spans="1:8">
      <c r="H9">
        <f>H8/A28</f>
        <v>111.04465230091242</v>
      </c>
    </row>
    <row r="11" spans="1:8">
      <c r="B11" t="s">
        <v>37</v>
      </c>
      <c r="C11" t="s">
        <v>38</v>
      </c>
      <c r="D11" t="s">
        <v>39</v>
      </c>
      <c r="E11" t="s">
        <v>40</v>
      </c>
      <c r="F11" t="s">
        <v>41</v>
      </c>
    </row>
    <row r="12" spans="1:8">
      <c r="B12">
        <f>SUM(B3:B7)/2.58</f>
        <v>107488.59181921381</v>
      </c>
      <c r="C12">
        <f>SUM(C3:C7)/2.2</f>
        <v>100476.44100283032</v>
      </c>
      <c r="D12">
        <f>SUM(D3:D7)/2.6</f>
        <v>228396.75951302858</v>
      </c>
      <c r="E12">
        <f>E3+E6+E7</f>
        <v>96474.079999999987</v>
      </c>
      <c r="F12">
        <f>F3+F6+F7</f>
        <v>117716.64271852645</v>
      </c>
    </row>
    <row r="13" spans="1:8">
      <c r="F13">
        <f>F12/6566</f>
        <v>17.928212415249231</v>
      </c>
    </row>
    <row r="16" spans="1:8">
      <c r="A16" s="1">
        <v>0</v>
      </c>
      <c r="B16" s="1">
        <v>33981.172332385097</v>
      </c>
      <c r="C16" s="1">
        <v>35617.331128319798</v>
      </c>
      <c r="D16" s="1">
        <v>14328.870690321901</v>
      </c>
      <c r="E16" s="1">
        <v>65.591007304412003</v>
      </c>
      <c r="F16" s="1">
        <v>8829.3408693915408</v>
      </c>
      <c r="G16" s="1">
        <v>17476.870865848901</v>
      </c>
      <c r="H16">
        <f>SUM(A16:G16)</f>
        <v>110299.17689357165</v>
      </c>
    </row>
    <row r="17" spans="1:9">
      <c r="A17" s="1">
        <v>8282.2627027183808</v>
      </c>
      <c r="B17" s="1">
        <v>11262.8682571604</v>
      </c>
      <c r="C17" s="1">
        <v>2252.5547918790098</v>
      </c>
      <c r="D17" s="1">
        <v>4194.4420461254804</v>
      </c>
      <c r="E17" s="1">
        <v>51.471938368550397</v>
      </c>
      <c r="F17" s="1">
        <v>32564.764107949501</v>
      </c>
      <c r="G17" s="1">
        <v>12570.1463620254</v>
      </c>
      <c r="H17" s="1">
        <f>SUM(A17:G17)</f>
        <v>71178.510206226725</v>
      </c>
    </row>
    <row r="18" spans="1:9">
      <c r="A18" s="1">
        <v>3709.2158711759098</v>
      </c>
      <c r="B18" s="1">
        <v>1674.86047033861</v>
      </c>
      <c r="C18" s="1">
        <v>3618.83884701122</v>
      </c>
      <c r="D18" s="1">
        <v>706.12992661184899</v>
      </c>
      <c r="E18" s="1">
        <v>396.55831691775597</v>
      </c>
      <c r="F18">
        <f>SUM(A18:E18)</f>
        <v>10105.603432055344</v>
      </c>
    </row>
    <row r="19" spans="1:9">
      <c r="A19" s="1">
        <v>378.79288874999401</v>
      </c>
      <c r="B19" s="1">
        <v>4204.3326779998397</v>
      </c>
      <c r="C19" s="1">
        <v>486.93759400003597</v>
      </c>
      <c r="D19" s="1">
        <v>6957.01515179948</v>
      </c>
      <c r="E19" s="1">
        <v>7130.7702648001596</v>
      </c>
      <c r="F19" s="1">
        <v>14707.0670760007</v>
      </c>
      <c r="G19">
        <f>SUM(A19:F19)</f>
        <v>33864.91565335021</v>
      </c>
    </row>
    <row r="20" spans="1:9">
      <c r="A20" s="3">
        <v>27840.21</v>
      </c>
      <c r="B20" s="3">
        <v>1901.54</v>
      </c>
      <c r="C20" s="3">
        <v>1855.2</v>
      </c>
      <c r="D20" s="3">
        <v>188.29</v>
      </c>
      <c r="E20" s="3">
        <v>4883.59</v>
      </c>
      <c r="F20" s="3">
        <v>10911.36</v>
      </c>
      <c r="G20">
        <f>SUM(A20:F20)</f>
        <v>47580.19</v>
      </c>
    </row>
    <row r="21" spans="1:9">
      <c r="A21" s="1">
        <v>125.995788165314</v>
      </c>
      <c r="B21" s="1">
        <v>90407.687187088901</v>
      </c>
      <c r="C21" s="1">
        <v>46802.361855149902</v>
      </c>
      <c r="D21" s="1">
        <v>253623.610206051</v>
      </c>
      <c r="E21" s="1">
        <v>108.503853808318</v>
      </c>
      <c r="F21" s="1">
        <v>106374.878897759</v>
      </c>
      <c r="G21" s="1">
        <v>85391.6527095903</v>
      </c>
      <c r="H21">
        <f>SUM(A21:G21)</f>
        <v>582834.69049761281</v>
      </c>
    </row>
    <row r="22" spans="1:9">
      <c r="A22" s="3">
        <v>6811.51</v>
      </c>
      <c r="B22" s="3">
        <v>906.64</v>
      </c>
      <c r="C22" s="3">
        <v>1052.8800000000001</v>
      </c>
      <c r="D22" s="3">
        <v>8570.65</v>
      </c>
      <c r="E22" s="3">
        <v>6880.03</v>
      </c>
      <c r="F22" s="3">
        <v>7284.17</v>
      </c>
      <c r="G22" s="3">
        <v>11312.64</v>
      </c>
      <c r="H22">
        <f>SUM(A22:G22)</f>
        <v>42818.52</v>
      </c>
    </row>
    <row r="23" spans="1:9">
      <c r="A23" s="1">
        <v>4370.0361435001796</v>
      </c>
      <c r="B23" s="1">
        <v>4324.8835167754196</v>
      </c>
      <c r="C23" s="1">
        <v>5022.5038402502496</v>
      </c>
      <c r="D23" s="1">
        <v>4413.9965040001498</v>
      </c>
      <c r="E23" s="1">
        <v>2419.2703349999802</v>
      </c>
      <c r="F23" s="1">
        <v>11441.6642339997</v>
      </c>
      <c r="G23" s="1">
        <v>4673.28147300006</v>
      </c>
      <c r="H23" s="1">
        <v>5498.6449050001102</v>
      </c>
      <c r="I23">
        <f>SUM(A23:H23)</f>
        <v>42164.280951525849</v>
      </c>
    </row>
    <row r="24" spans="1:9">
      <c r="A24" s="1">
        <v>275.41952258484702</v>
      </c>
      <c r="B24" s="1">
        <v>326.97723357628598</v>
      </c>
      <c r="C24" s="1">
        <v>288.88404804501403</v>
      </c>
      <c r="D24">
        <f>SUM(A24:C24)</f>
        <v>891.28080420614697</v>
      </c>
    </row>
    <row r="25" spans="1:9">
      <c r="A25" s="3">
        <v>1877.37</v>
      </c>
      <c r="B25" s="3">
        <v>2228.8200000000002</v>
      </c>
      <c r="C25" s="3">
        <v>1969.18</v>
      </c>
      <c r="D25">
        <f>SUM(A25:C25)</f>
        <v>6075.3700000000008</v>
      </c>
    </row>
    <row r="26" spans="1:9">
      <c r="A26" s="1">
        <v>7945.6405612502303</v>
      </c>
      <c r="B26" s="1">
        <v>6692.7273262498802</v>
      </c>
      <c r="C26" s="1">
        <v>113.567103000008</v>
      </c>
      <c r="D26" s="1">
        <v>19915.48638065</v>
      </c>
      <c r="E26" s="1">
        <v>7020.0247425002799</v>
      </c>
      <c r="F26">
        <f>SUM(A26:E26)</f>
        <v>41687.446113650403</v>
      </c>
    </row>
    <row r="28" spans="1:9">
      <c r="A28" s="1">
        <f>1348+5218</f>
        <v>6566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I14" sqref="I14"/>
    </sheetView>
  </sheetViews>
  <sheetFormatPr defaultRowHeight="14.25"/>
  <sheetData>
    <row r="1" spans="1:9">
      <c r="A1" t="s">
        <v>24</v>
      </c>
    </row>
    <row r="2" spans="1:9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9">
      <c r="A3" t="s">
        <v>25</v>
      </c>
      <c r="B3">
        <v>3684.51</v>
      </c>
      <c r="C3">
        <v>3238.51</v>
      </c>
      <c r="D3">
        <v>0</v>
      </c>
      <c r="E3" s="3">
        <v>934.21</v>
      </c>
      <c r="I3">
        <v>172.2</v>
      </c>
    </row>
    <row r="4" spans="1:9">
      <c r="A4" t="s">
        <v>26</v>
      </c>
      <c r="B4">
        <v>6467.56</v>
      </c>
      <c r="C4">
        <v>2595.16</v>
      </c>
      <c r="D4">
        <v>0</v>
      </c>
      <c r="E4">
        <v>3824.71</v>
      </c>
      <c r="F4">
        <v>6446.8082874002594</v>
      </c>
      <c r="I4">
        <v>172.2</v>
      </c>
    </row>
    <row r="5" spans="1:9" s="4" customFormat="1"/>
    <row r="6" spans="1:9" s="4" customFormat="1"/>
    <row r="7" spans="1:9">
      <c r="A7" t="s">
        <v>29</v>
      </c>
      <c r="B7">
        <v>75157.27</v>
      </c>
      <c r="C7">
        <v>33658.629999999997</v>
      </c>
      <c r="D7">
        <v>2285.01651737884</v>
      </c>
      <c r="E7">
        <v>47454.320000000007</v>
      </c>
      <c r="F7">
        <v>66256.871068425404</v>
      </c>
      <c r="I7">
        <v>2583.5</v>
      </c>
    </row>
    <row r="8" spans="1:9">
      <c r="A8" t="s">
        <v>30</v>
      </c>
      <c r="B8">
        <v>88907.520000000004</v>
      </c>
      <c r="C8">
        <v>43891.45</v>
      </c>
      <c r="D8" s="1">
        <v>882.56299396145596</v>
      </c>
      <c r="E8">
        <v>54577.94</v>
      </c>
      <c r="F8">
        <v>41412.263649337685</v>
      </c>
      <c r="I8">
        <v>2583.5</v>
      </c>
    </row>
    <row r="9" spans="1:9">
      <c r="A9" t="s">
        <v>50</v>
      </c>
      <c r="B9">
        <v>55364.634277794503</v>
      </c>
      <c r="C9">
        <v>19158.707604276664</v>
      </c>
      <c r="D9" s="1">
        <v>684.13224159149104</v>
      </c>
      <c r="E9">
        <v>33172.5</v>
      </c>
      <c r="F9">
        <v>38582.765271212964</v>
      </c>
      <c r="I9">
        <v>1632.67</v>
      </c>
    </row>
    <row r="10" spans="1:9">
      <c r="I10">
        <f>SUM(B3:B9)/2.58+SUM(C3:D9)/2.4+E3+E4+E7+E8+E9+F4+F7+F8+F9</f>
        <v>425978.36747668392</v>
      </c>
    </row>
    <row r="11" spans="1:9">
      <c r="I11">
        <f>I10/SUM(I3:I9)</f>
        <v>59.626846808147725</v>
      </c>
    </row>
    <row r="12" spans="1:9">
      <c r="A12" t="s">
        <v>37</v>
      </c>
      <c r="B12" t="s">
        <v>38</v>
      </c>
      <c r="C12" t="s">
        <v>39</v>
      </c>
      <c r="D12" t="s">
        <v>40</v>
      </c>
      <c r="E12" t="s">
        <v>41</v>
      </c>
    </row>
    <row r="13" spans="1:9">
      <c r="A13">
        <f>SUM(B3:B8)/2.58</f>
        <v>67525.914728682168</v>
      </c>
      <c r="B13">
        <f>SUM(C3:D8)/2.4</f>
        <v>36063.053963058454</v>
      </c>
      <c r="C13">
        <f>SUM(D7:D8)</f>
        <v>3167.579511340296</v>
      </c>
      <c r="D13">
        <f>E3+E4+E7+E8</f>
        <v>106791.18000000001</v>
      </c>
      <c r="E13">
        <f>F4+F7+F8</f>
        <v>114115.94300516334</v>
      </c>
    </row>
    <row r="16" spans="1:9">
      <c r="A16" s="1">
        <v>2622.8141080752498</v>
      </c>
      <c r="B16" s="1">
        <v>806.17112143755401</v>
      </c>
      <c r="C16" s="1">
        <v>1926.7851638749</v>
      </c>
      <c r="D16" s="1">
        <v>423.49249845001299</v>
      </c>
      <c r="E16" s="1">
        <v>667.54539556254304</v>
      </c>
      <c r="F16">
        <f>SUM(A16:E16)</f>
        <v>6446.8082874002594</v>
      </c>
    </row>
    <row r="18" spans="1:10">
      <c r="A18" s="3">
        <v>2696.49</v>
      </c>
      <c r="B18">
        <v>1128.22</v>
      </c>
      <c r="C18">
        <v>934.21</v>
      </c>
    </row>
    <row r="19" spans="1:10">
      <c r="B19">
        <f>A18+B18</f>
        <v>3824.71</v>
      </c>
    </row>
    <row r="21" spans="1:10">
      <c r="A21" s="1">
        <v>17619.8322182991</v>
      </c>
      <c r="B21" s="1">
        <v>11073.194358626601</v>
      </c>
      <c r="C21" s="1">
        <v>613.33734149996496</v>
      </c>
      <c r="D21" s="1">
        <v>15684.1497721989</v>
      </c>
      <c r="E21" s="1">
        <v>15303.179892001201</v>
      </c>
      <c r="F21" s="1">
        <v>4889.9585357996702</v>
      </c>
      <c r="G21" s="1">
        <v>1073.2189499999599</v>
      </c>
      <c r="H21">
        <f>SUM(A21:G21)</f>
        <v>66256.871068425404</v>
      </c>
    </row>
    <row r="22" spans="1:10">
      <c r="A22" s="3">
        <v>661.85</v>
      </c>
      <c r="B22" s="3">
        <v>13718.5</v>
      </c>
      <c r="C22" s="3">
        <v>15411.59</v>
      </c>
      <c r="D22" s="3">
        <v>4277.1099999999997</v>
      </c>
      <c r="E22" s="3">
        <v>13385.27</v>
      </c>
      <c r="F22">
        <f>SUM(A22:E22)</f>
        <v>47454.320000000007</v>
      </c>
    </row>
    <row r="23" spans="1:10">
      <c r="A23" s="1">
        <v>752.59510906137405</v>
      </c>
      <c r="B23" s="1">
        <v>208.86058498845301</v>
      </c>
      <c r="C23" s="1">
        <v>653.64470303175699</v>
      </c>
      <c r="D23" s="1">
        <v>669.91612029725604</v>
      </c>
      <c r="E23">
        <f>SUM(A23:D23)</f>
        <v>2285.01651737884</v>
      </c>
    </row>
    <row r="24" spans="1:10">
      <c r="A24" s="3">
        <v>15718.03</v>
      </c>
      <c r="B24" s="3">
        <v>5037.1400000000003</v>
      </c>
      <c r="C24" s="3">
        <v>6323.9</v>
      </c>
      <c r="D24" s="3">
        <v>14217.5</v>
      </c>
      <c r="E24" s="3">
        <v>230.71</v>
      </c>
      <c r="F24" s="3">
        <v>12344.76</v>
      </c>
      <c r="G24" s="3">
        <v>705.9</v>
      </c>
      <c r="H24">
        <f>SUM(A24:G24)</f>
        <v>54577.94</v>
      </c>
    </row>
    <row r="25" spans="1:10">
      <c r="A25" s="1">
        <v>3599.3006716872001</v>
      </c>
      <c r="B25" s="1">
        <v>11231.3670974383</v>
      </c>
      <c r="C25" s="1">
        <v>6216.43032832477</v>
      </c>
      <c r="D25" s="1">
        <v>654.16700699999706</v>
      </c>
      <c r="E25" s="1">
        <v>8820.9836820624896</v>
      </c>
      <c r="F25" s="1">
        <v>596.63864520002096</v>
      </c>
      <c r="G25" s="1">
        <v>134.221860000009</v>
      </c>
      <c r="H25" s="1">
        <v>10159.154357624901</v>
      </c>
      <c r="I25">
        <f>SUM(A25:H25)</f>
        <v>41412.263649337685</v>
      </c>
    </row>
    <row r="26" spans="1:10">
      <c r="A26" s="1">
        <v>13003.9841892491</v>
      </c>
      <c r="B26" s="1">
        <v>13431.906762026099</v>
      </c>
      <c r="C26" s="1">
        <v>681.68869511421599</v>
      </c>
      <c r="D26" s="1">
        <v>11461.6879440058</v>
      </c>
      <c r="E26" s="1">
        <v>7658.3291807513797</v>
      </c>
      <c r="F26" s="1">
        <v>0.48107728379311299</v>
      </c>
      <c r="G26" s="1">
        <v>0</v>
      </c>
      <c r="H26" s="1">
        <v>9126.5564293641091</v>
      </c>
      <c r="I26">
        <f>SUM(A26:H26)</f>
        <v>55364.634277794503</v>
      </c>
    </row>
    <row r="27" spans="1:10">
      <c r="A27" s="1">
        <v>224.64251102375201</v>
      </c>
      <c r="B27" s="1">
        <v>3868.4969586980801</v>
      </c>
      <c r="C27" s="1">
        <v>4153.6261153792002</v>
      </c>
      <c r="D27" s="1">
        <v>2271.1191854547501</v>
      </c>
      <c r="E27" s="1">
        <v>392.22307197125502</v>
      </c>
      <c r="F27" s="1">
        <v>2683.1708906020199</v>
      </c>
      <c r="G27" s="1">
        <v>4741.7287244056397</v>
      </c>
      <c r="H27" s="1">
        <v>823.70014674196796</v>
      </c>
      <c r="I27">
        <f>SUM(A27:H27)</f>
        <v>19158.707604276664</v>
      </c>
    </row>
    <row r="29" spans="1:10">
      <c r="A29" s="3">
        <v>7022.75</v>
      </c>
      <c r="B29" s="3">
        <v>9990.07</v>
      </c>
      <c r="C29" s="3">
        <v>6724.86</v>
      </c>
      <c r="D29" s="3">
        <v>3943.18</v>
      </c>
      <c r="E29" s="3">
        <v>547.73</v>
      </c>
      <c r="F29" s="3">
        <v>4943.91</v>
      </c>
      <c r="G29">
        <f>SUM(A29:F29)</f>
        <v>33172.5</v>
      </c>
    </row>
    <row r="30" spans="1:10">
      <c r="A30" s="1">
        <v>7138.4353551880904</v>
      </c>
      <c r="B30" s="1">
        <v>4805.2673532502004</v>
      </c>
      <c r="C30" s="1">
        <v>5018.1250250625999</v>
      </c>
      <c r="D30" s="1">
        <v>5886.28876377495</v>
      </c>
      <c r="E30" s="1">
        <v>55.776026250002303</v>
      </c>
      <c r="F30" s="1">
        <v>507.58940699996998</v>
      </c>
      <c r="G30" s="1">
        <v>3532.68748299975</v>
      </c>
      <c r="H30" s="1">
        <v>2817.6121756249099</v>
      </c>
      <c r="I30" s="1">
        <v>8820.9836820624896</v>
      </c>
      <c r="J30">
        <f>SUM(A30:I30)</f>
        <v>38582.765271212964</v>
      </c>
    </row>
    <row r="32" spans="1:10">
      <c r="A32" s="3">
        <v>275.83999999999997</v>
      </c>
      <c r="B32" s="3">
        <v>392.4</v>
      </c>
      <c r="C32" s="3">
        <v>304.2</v>
      </c>
      <c r="D32" s="3">
        <v>264.14</v>
      </c>
      <c r="E32" s="3">
        <v>17.100000000000001</v>
      </c>
      <c r="F32" s="3">
        <v>154.88</v>
      </c>
      <c r="G32" s="3">
        <v>29.92</v>
      </c>
      <c r="H32" s="3">
        <v>194.19</v>
      </c>
      <c r="I32">
        <f>SUM(A32:H32)</f>
        <v>1632.67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R12" sqref="R12"/>
    </sheetView>
  </sheetViews>
  <sheetFormatPr defaultRowHeight="14.25"/>
  <sheetData>
    <row r="1" spans="1:9">
      <c r="A1" t="s">
        <v>31</v>
      </c>
    </row>
    <row r="2" spans="1:9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9">
      <c r="A3" t="s">
        <v>32</v>
      </c>
      <c r="B3">
        <v>27095.81</v>
      </c>
      <c r="C3">
        <v>7094.0069999999996</v>
      </c>
      <c r="D3" s="1">
        <v>2914.2793742640101</v>
      </c>
      <c r="E3" s="3">
        <v>2736.23</v>
      </c>
      <c r="F3" s="1">
        <v>13052.5013839515</v>
      </c>
      <c r="I3">
        <v>653.17999999999995</v>
      </c>
    </row>
    <row r="4" spans="1:9">
      <c r="H4">
        <f>11.586/80</f>
        <v>0.14482500000000001</v>
      </c>
    </row>
    <row r="5" spans="1:9">
      <c r="I5">
        <f>B3/2.58+C3/2.4+D3/2.4+E3+F3</f>
        <v>30461.102644546001</v>
      </c>
    </row>
    <row r="6" spans="1:9">
      <c r="B6" t="s">
        <v>37</v>
      </c>
      <c r="C6" t="s">
        <v>38</v>
      </c>
      <c r="D6" t="s">
        <v>39</v>
      </c>
      <c r="E6" t="s">
        <v>40</v>
      </c>
      <c r="F6" t="s">
        <v>41</v>
      </c>
      <c r="I6">
        <f>I5/I3</f>
        <v>46.635081668982522</v>
      </c>
    </row>
    <row r="7" spans="1:9">
      <c r="B7">
        <f>B3/2.58</f>
        <v>10502.251937984496</v>
      </c>
      <c r="C7">
        <f>C3/2.4</f>
        <v>2955.8362499999998</v>
      </c>
      <c r="D7">
        <f>D3/2.4</f>
        <v>1214.2830726100042</v>
      </c>
      <c r="E7">
        <f>E3</f>
        <v>2736.23</v>
      </c>
      <c r="F7">
        <f>F3</f>
        <v>13052.5013839515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24"/>
  <sheetViews>
    <sheetView workbookViewId="0">
      <selection activeCell="I9" sqref="I9"/>
    </sheetView>
  </sheetViews>
  <sheetFormatPr defaultRowHeight="14.25"/>
  <cols>
    <col min="2" max="2" width="11.375" customWidth="1"/>
    <col min="3" max="3" width="11.625" customWidth="1"/>
    <col min="4" max="4" width="11.25" customWidth="1"/>
    <col min="5" max="5" width="13.75" customWidth="1"/>
    <col min="6" max="6" width="11.875" customWidth="1"/>
    <col min="7" max="7" width="12.625" customWidth="1"/>
    <col min="8" max="8" width="11.375" customWidth="1"/>
  </cols>
  <sheetData>
    <row r="1" spans="1:9">
      <c r="A1" t="s">
        <v>34</v>
      </c>
    </row>
    <row r="2" spans="1:9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9">
      <c r="A3" t="s">
        <v>35</v>
      </c>
      <c r="B3">
        <v>71216.639999999999</v>
      </c>
      <c r="C3">
        <v>22922.080000000002</v>
      </c>
    </row>
    <row r="4" spans="1:9">
      <c r="A4" t="s">
        <v>32</v>
      </c>
      <c r="B4">
        <v>166237.70000000001</v>
      </c>
      <c r="C4">
        <v>35918.019999999997</v>
      </c>
    </row>
    <row r="5" spans="1:9">
      <c r="A5" t="s">
        <v>17</v>
      </c>
      <c r="B5">
        <v>50777.95</v>
      </c>
      <c r="C5">
        <v>42041.95</v>
      </c>
    </row>
    <row r="6" spans="1:9">
      <c r="A6" t="s">
        <v>36</v>
      </c>
      <c r="B6">
        <v>57565.23</v>
      </c>
      <c r="C6">
        <v>51053.66</v>
      </c>
      <c r="D6">
        <v>787180.98625219252</v>
      </c>
      <c r="E6">
        <v>101367.4</v>
      </c>
      <c r="F6">
        <v>79740.464864973444</v>
      </c>
      <c r="G6">
        <v>80515.539999999994</v>
      </c>
      <c r="I6" s="5">
        <v>7629.300000000002</v>
      </c>
    </row>
    <row r="8" spans="1:9">
      <c r="B8">
        <f>SUM(B3:B7)</f>
        <v>345797.52</v>
      </c>
      <c r="C8">
        <f>SUM(C3:C7)</f>
        <v>151935.71</v>
      </c>
      <c r="I8">
        <f>SUM(B3:B6)/3+SUM(C3:C6)/2.5+D6/2.5+E6+F6+G6</f>
        <v>752535.92336585047</v>
      </c>
    </row>
    <row r="9" spans="1:9">
      <c r="I9">
        <f>I8/I6</f>
        <v>98.637610706860428</v>
      </c>
    </row>
    <row r="10" spans="1:9">
      <c r="A10" t="s">
        <v>37</v>
      </c>
      <c r="B10" t="s">
        <v>38</v>
      </c>
      <c r="C10" t="s">
        <v>39</v>
      </c>
      <c r="D10" t="s">
        <v>40</v>
      </c>
      <c r="E10" t="s">
        <v>41</v>
      </c>
    </row>
    <row r="11" spans="1:9">
      <c r="A11">
        <f>SUM(B3:B6)/2.48</f>
        <v>139434.48387096776</v>
      </c>
      <c r="B11">
        <f>SUM(C3:C6)/2.4</f>
        <v>63306.54583333333</v>
      </c>
      <c r="C11">
        <f>D6/2.8</f>
        <v>281136.0665186402</v>
      </c>
      <c r="D11">
        <f>E6+G6</f>
        <v>181882.94</v>
      </c>
      <c r="E11">
        <f>F6</f>
        <v>79740.464864973444</v>
      </c>
    </row>
    <row r="22" spans="1:44">
      <c r="A22" s="1">
        <v>143869.569091699</v>
      </c>
      <c r="B22" s="1">
        <v>411.47813553638099</v>
      </c>
      <c r="C22" s="1">
        <v>716.11203243457703</v>
      </c>
      <c r="D22" s="1">
        <v>18397.694043487401</v>
      </c>
      <c r="E22" s="1">
        <v>9210.1720440795107</v>
      </c>
      <c r="F22" s="1">
        <v>630.87752660798196</v>
      </c>
      <c r="G22" s="1">
        <v>46369.883904782102</v>
      </c>
      <c r="H22" s="1">
        <v>21084.770377558401</v>
      </c>
      <c r="I22" s="1">
        <v>143488.54066780201</v>
      </c>
      <c r="J22" s="1">
        <v>1550.4845181708899</v>
      </c>
      <c r="K22" s="1">
        <v>8577.9438926271105</v>
      </c>
      <c r="L22" s="1">
        <v>20590.413626700902</v>
      </c>
      <c r="M22" s="1">
        <v>8170.5349936544499</v>
      </c>
      <c r="N22" s="1">
        <v>79448.507295830306</v>
      </c>
      <c r="O22" s="1">
        <v>16292.489546668499</v>
      </c>
      <c r="P22" s="1">
        <v>79448.507295830306</v>
      </c>
      <c r="Q22" s="1">
        <v>20590.413626700902</v>
      </c>
      <c r="R22" s="1">
        <v>143869.569091699</v>
      </c>
      <c r="S22" s="1">
        <v>16292.489546668499</v>
      </c>
      <c r="T22" s="1">
        <v>8170.5349936544499</v>
      </c>
      <c r="V22">
        <f>SUM(A22:U22)</f>
        <v>787180.98625219252</v>
      </c>
    </row>
    <row r="24" spans="1:44">
      <c r="A24" s="1">
        <v>201.51328800000601</v>
      </c>
      <c r="B24" s="1">
        <v>8970.8285413248104</v>
      </c>
      <c r="C24" s="1">
        <v>1779.44945999997</v>
      </c>
      <c r="D24" s="1">
        <v>254.672179999994</v>
      </c>
      <c r="E24" s="1">
        <v>79.420994999996793</v>
      </c>
      <c r="F24" s="1">
        <v>93.256278749998202</v>
      </c>
      <c r="G24" s="1">
        <v>101.057403999998</v>
      </c>
      <c r="H24" s="1">
        <v>982.65796399997498</v>
      </c>
      <c r="I24" s="1">
        <v>834.29746199997999</v>
      </c>
      <c r="J24" s="1">
        <v>381.369545999987</v>
      </c>
      <c r="K24" s="1">
        <v>101.057403999998</v>
      </c>
      <c r="L24" s="1">
        <v>1779.44945999997</v>
      </c>
      <c r="M24" s="1">
        <v>254.672179999994</v>
      </c>
      <c r="N24" s="1">
        <v>79.420994999996793</v>
      </c>
      <c r="O24" s="1">
        <v>93.256278749998202</v>
      </c>
      <c r="P24" s="1">
        <v>982.65796399997498</v>
      </c>
      <c r="Q24" s="1">
        <v>834.29746199997999</v>
      </c>
      <c r="R24" s="1">
        <v>201.51328800000601</v>
      </c>
      <c r="S24" s="1">
        <v>381.369545999987</v>
      </c>
      <c r="T24" s="1">
        <v>181.59564374999701</v>
      </c>
      <c r="U24" s="1">
        <v>8970.8285413248104</v>
      </c>
      <c r="V24" s="1">
        <v>181.59564374999701</v>
      </c>
      <c r="W24" s="1">
        <v>10739.941769999299</v>
      </c>
      <c r="X24" s="1">
        <v>3466.7645250002902</v>
      </c>
      <c r="Y24" s="1">
        <v>394.02204299998198</v>
      </c>
      <c r="Z24" s="1">
        <v>22394.676057599401</v>
      </c>
      <c r="AA24" s="1">
        <v>416.388438000017</v>
      </c>
      <c r="AB24" s="1">
        <v>613.97183250003695</v>
      </c>
      <c r="AC24" s="1">
        <v>157.48674750000399</v>
      </c>
      <c r="AD24" s="1">
        <v>335.133396000012</v>
      </c>
      <c r="AE24" s="1">
        <v>15.7265549999996</v>
      </c>
      <c r="AF24" s="1">
        <v>458.727727499982</v>
      </c>
      <c r="AG24" s="1">
        <v>4411.7836344751404</v>
      </c>
      <c r="AH24" s="1">
        <v>1774.73658000004</v>
      </c>
      <c r="AI24" s="1">
        <v>260.78666000000999</v>
      </c>
      <c r="AJ24" s="1">
        <v>2861.9281349999701</v>
      </c>
      <c r="AK24" s="1">
        <v>113.915916000002</v>
      </c>
      <c r="AL24" s="1">
        <v>782.06901300005097</v>
      </c>
      <c r="AM24" s="1">
        <v>227.55180400000299</v>
      </c>
      <c r="AN24" s="1">
        <v>284.073966000008</v>
      </c>
      <c r="AO24" s="1">
        <v>443.83800374998702</v>
      </c>
      <c r="AP24" s="1">
        <v>1866.70453499981</v>
      </c>
      <c r="AR24">
        <f>SUM(A24:AQ24)</f>
        <v>79740.464864973444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B15" sqref="B15:F16"/>
    </sheetView>
  </sheetViews>
  <sheetFormatPr defaultRowHeight="14.25"/>
  <cols>
    <col min="2" max="2" width="11.875" customWidth="1"/>
    <col min="3" max="3" width="12.375" customWidth="1"/>
    <col min="4" max="4" width="11.25" customWidth="1"/>
    <col min="5" max="5" width="14.25" customWidth="1"/>
    <col min="6" max="7" width="12.625" customWidth="1"/>
    <col min="8" max="8" width="11.875" customWidth="1"/>
  </cols>
  <sheetData>
    <row r="1" spans="1:9">
      <c r="A1" t="s">
        <v>24</v>
      </c>
    </row>
    <row r="2" spans="1:9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9">
      <c r="A3" t="s">
        <v>32</v>
      </c>
      <c r="B3">
        <v>23541.24</v>
      </c>
      <c r="C3">
        <v>12258.59</v>
      </c>
      <c r="D3">
        <v>0</v>
      </c>
      <c r="E3">
        <v>16615.5</v>
      </c>
      <c r="F3">
        <v>13971.848511487968</v>
      </c>
      <c r="G3">
        <v>0</v>
      </c>
      <c r="I3">
        <v>1494.94</v>
      </c>
    </row>
    <row r="4" spans="1:9">
      <c r="A4" t="s">
        <v>35</v>
      </c>
      <c r="B4">
        <v>29673.498462629701</v>
      </c>
      <c r="C4">
        <v>29089.180014595433</v>
      </c>
      <c r="D4" s="1">
        <v>59271.327401486204</v>
      </c>
      <c r="E4">
        <v>9281.7450000000008</v>
      </c>
      <c r="F4">
        <v>9061.2958632876071</v>
      </c>
      <c r="G4">
        <v>0</v>
      </c>
    </row>
    <row r="5" spans="1:9">
      <c r="A5" t="s">
        <v>42</v>
      </c>
      <c r="B5">
        <v>47692.189669165396</v>
      </c>
      <c r="C5">
        <v>13912.183731314994</v>
      </c>
      <c r="D5" s="1">
        <v>60311.974373056801</v>
      </c>
      <c r="E5">
        <v>17678.89</v>
      </c>
      <c r="F5">
        <v>15940.566961773755</v>
      </c>
      <c r="G5" s="3">
        <v>37045.97</v>
      </c>
    </row>
    <row r="12" spans="1:9">
      <c r="A12" s="3">
        <v>128.51</v>
      </c>
      <c r="B12" s="3">
        <v>6911.1</v>
      </c>
      <c r="C12" s="3">
        <v>9575.89</v>
      </c>
      <c r="D12">
        <f>SUM(A12:C12)</f>
        <v>16615.5</v>
      </c>
    </row>
    <row r="13" spans="1:9">
      <c r="A13" s="1">
        <v>4938.3500148123103</v>
      </c>
      <c r="B13" s="1">
        <v>1858.68087072494</v>
      </c>
      <c r="C13" s="1">
        <v>332.33678920000699</v>
      </c>
      <c r="D13" s="1">
        <v>6842.4808367507103</v>
      </c>
      <c r="E13">
        <f>SUM(A13:D13)</f>
        <v>13971.848511487968</v>
      </c>
    </row>
    <row r="15" spans="1:9">
      <c r="B15" t="s">
        <v>44</v>
      </c>
      <c r="C15" t="s">
        <v>38</v>
      </c>
      <c r="D15" t="s">
        <v>39</v>
      </c>
      <c r="E15" t="s">
        <v>40</v>
      </c>
      <c r="F15" t="s">
        <v>41</v>
      </c>
    </row>
    <row r="16" spans="1:9">
      <c r="B16">
        <f>SUM(B3:B5)/2.58</f>
        <v>39111.212454184148</v>
      </c>
      <c r="C16">
        <f>SUM(C3:C5)/2.4</f>
        <v>23024.980727462676</v>
      </c>
      <c r="D16">
        <f>SUM(D3:D5)/2.4</f>
        <v>49826.375739392926</v>
      </c>
      <c r="E16">
        <f>SUM(E3:E5)+G5</f>
        <v>80622.10500000001</v>
      </c>
      <c r="F16">
        <f>SUM(F3:F5)</f>
        <v>38973.711336549328</v>
      </c>
      <c r="H16">
        <f>SUM(B16:G16)</f>
        <v>231558.38525758911</v>
      </c>
    </row>
    <row r="17" spans="1:8">
      <c r="H17">
        <f>H16/F41</f>
        <v>140.19567062481178</v>
      </c>
    </row>
    <row r="24" spans="1:8">
      <c r="A24" s="1">
        <v>6725.6433073354401</v>
      </c>
      <c r="B24" s="1">
        <v>131.42633602660101</v>
      </c>
      <c r="C24" s="1">
        <v>12087.5542059038</v>
      </c>
      <c r="D24" s="1">
        <v>1617.7783564885101</v>
      </c>
      <c r="E24" s="1">
        <v>851.120323546902</v>
      </c>
      <c r="F24" s="1">
        <v>2303.3877961231401</v>
      </c>
      <c r="G24" s="1">
        <v>23975.279343741</v>
      </c>
      <c r="H24">
        <f>SUM(A24:G24)</f>
        <v>47692.189669165396</v>
      </c>
    </row>
    <row r="25" spans="1:8">
      <c r="A25" s="1">
        <v>4067.8701838525999</v>
      </c>
      <c r="B25" s="1">
        <v>228.064192183561</v>
      </c>
      <c r="C25" s="1">
        <v>4788.8458701510899</v>
      </c>
      <c r="D25" s="1">
        <v>2057.0490781267999</v>
      </c>
      <c r="E25" s="1">
        <v>661.54432337078299</v>
      </c>
      <c r="F25" s="1">
        <v>2108.8100836301601</v>
      </c>
      <c r="G25">
        <f>SUM(A25:F25)</f>
        <v>13912.183731314994</v>
      </c>
    </row>
    <row r="26" spans="1:8">
      <c r="A26" s="3">
        <v>1383.53</v>
      </c>
      <c r="B26" s="3">
        <v>9506.64</v>
      </c>
      <c r="C26" s="3">
        <v>6788.72</v>
      </c>
      <c r="D26">
        <f>SUM(A26:C26)</f>
        <v>17678.89</v>
      </c>
    </row>
    <row r="29" spans="1:8">
      <c r="A29" s="1">
        <v>617.43277117503806</v>
      </c>
      <c r="B29" s="1">
        <v>10912.4870815987</v>
      </c>
      <c r="C29" s="1">
        <v>1219.09326673752</v>
      </c>
      <c r="D29" s="1">
        <v>176.78853123751401</v>
      </c>
      <c r="E29" s="1">
        <v>2868.4712005624801</v>
      </c>
      <c r="F29" s="1">
        <v>146.294110462502</v>
      </c>
      <c r="G29">
        <f>SUM(A29:F29)</f>
        <v>15940.566961773755</v>
      </c>
    </row>
    <row r="30" spans="1:8">
      <c r="A30" s="1">
        <v>617.43277117503806</v>
      </c>
      <c r="B30" s="1">
        <v>10912.4870815987</v>
      </c>
      <c r="C30" s="1">
        <v>1219.09326673752</v>
      </c>
      <c r="D30" s="1">
        <v>176.78853123751401</v>
      </c>
      <c r="E30" s="1">
        <v>2868.4712005624801</v>
      </c>
      <c r="F30" s="1">
        <v>146.294110462502</v>
      </c>
    </row>
    <row r="32" spans="1:8">
      <c r="A32" s="1">
        <v>3231.92975348445</v>
      </c>
      <c r="B32" s="1">
        <v>6725.6433073354401</v>
      </c>
      <c r="C32" s="1">
        <v>16336.6973974624</v>
      </c>
      <c r="D32" s="1">
        <v>1640.7544992133701</v>
      </c>
      <c r="E32" s="1">
        <v>1738.4735051340399</v>
      </c>
      <c r="F32">
        <f>SUM(A32:E32)</f>
        <v>29673.498462629701</v>
      </c>
    </row>
    <row r="34" spans="1:7">
      <c r="A34" s="1"/>
      <c r="B34" s="1">
        <v>1995.4267785566101</v>
      </c>
      <c r="C34" s="1">
        <v>6633.7716337515303</v>
      </c>
      <c r="D34" s="1">
        <v>1185.43621836382</v>
      </c>
      <c r="E34" s="1">
        <v>1624.8395423770701</v>
      </c>
      <c r="F34" s="1">
        <v>17649.705841546402</v>
      </c>
      <c r="G34">
        <f>SUM(B34:F34)</f>
        <v>29089.180014595433</v>
      </c>
    </row>
    <row r="36" spans="1:7">
      <c r="B36" s="3">
        <v>2465.2800000000002</v>
      </c>
      <c r="C36" s="3">
        <v>4014.36</v>
      </c>
      <c r="D36" s="3">
        <v>1868.07</v>
      </c>
      <c r="E36">
        <f>B36+C36+D36*1.5</f>
        <v>9281.7450000000008</v>
      </c>
    </row>
    <row r="38" spans="1:7">
      <c r="B38" s="1">
        <v>1761.57019350012</v>
      </c>
      <c r="C38" s="1">
        <v>2046.32894130009</v>
      </c>
      <c r="D38" s="1">
        <v>575.99428792496599</v>
      </c>
      <c r="E38" s="1">
        <v>2868.4712005624801</v>
      </c>
      <c r="F38" s="1">
        <v>1808.9312399999501</v>
      </c>
      <c r="G38">
        <f>SUM(B38:F38)</f>
        <v>9061.2958632876071</v>
      </c>
    </row>
    <row r="40" spans="1:7">
      <c r="B40">
        <v>96.06</v>
      </c>
      <c r="C40">
        <v>376.13</v>
      </c>
      <c r="D40" t="s">
        <v>43</v>
      </c>
      <c r="E40">
        <f>SUM(B40:D40)</f>
        <v>472.19</v>
      </c>
    </row>
    <row r="41" spans="1:7">
      <c r="B41">
        <v>373.14</v>
      </c>
      <c r="C41">
        <v>126.01</v>
      </c>
      <c r="D41">
        <v>51.41</v>
      </c>
      <c r="E41">
        <f>SUM(B41:D41)</f>
        <v>550.55999999999995</v>
      </c>
      <c r="F41">
        <f>E41+E41*2</f>
        <v>1651.6799999999998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13" sqref="I13"/>
    </sheetView>
  </sheetViews>
  <sheetFormatPr defaultRowHeight="14.25"/>
  <cols>
    <col min="5" max="5" width="13.5" customWidth="1"/>
  </cols>
  <sheetData>
    <row r="1" spans="1:9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9">
      <c r="A2" s="4" t="s">
        <v>27</v>
      </c>
      <c r="B2" s="4">
        <v>6626.13</v>
      </c>
      <c r="C2" s="4">
        <v>2941.3</v>
      </c>
      <c r="D2" s="4">
        <v>0</v>
      </c>
      <c r="E2" s="4">
        <v>4752.5200000000004</v>
      </c>
      <c r="F2" s="4">
        <v>13572.1574950007</v>
      </c>
      <c r="G2" s="4"/>
      <c r="H2" s="4"/>
      <c r="I2" s="4">
        <v>466.29</v>
      </c>
    </row>
    <row r="3" spans="1:9">
      <c r="A3" s="4" t="s">
        <v>28</v>
      </c>
      <c r="B3" s="4">
        <v>15374.48</v>
      </c>
      <c r="C3" s="4">
        <v>3071.48</v>
      </c>
      <c r="D3" s="4"/>
      <c r="E3" s="4">
        <v>7690.01</v>
      </c>
      <c r="F3" s="4">
        <v>7126.3857600002802</v>
      </c>
      <c r="G3" s="4"/>
      <c r="H3" s="4"/>
      <c r="I3" s="4">
        <v>420.06</v>
      </c>
    </row>
    <row r="5" spans="1:9">
      <c r="I5">
        <f>SUM(B2:B3)+C2+C3+E2+E3+F2+F3</f>
        <v>61154.463255000977</v>
      </c>
    </row>
    <row r="6" spans="1:9">
      <c r="I6">
        <f>I5/(I2+I3)</f>
        <v>68.995840531393895</v>
      </c>
    </row>
    <row r="7" spans="1:9">
      <c r="B7" t="s">
        <v>45</v>
      </c>
      <c r="C7" t="s">
        <v>46</v>
      </c>
      <c r="D7" t="s">
        <v>47</v>
      </c>
      <c r="E7" t="s">
        <v>48</v>
      </c>
      <c r="F7" t="s">
        <v>49</v>
      </c>
    </row>
    <row r="8" spans="1:9">
      <c r="B8">
        <f>(B2+B3)/2.58</f>
        <v>8527.3682170542634</v>
      </c>
      <c r="C8">
        <f>SUM(C2:C3)/2.4</f>
        <v>2505.3250000000003</v>
      </c>
      <c r="D8">
        <v>0</v>
      </c>
      <c r="E8">
        <f>E2+E3</f>
        <v>12442.53</v>
      </c>
      <c r="F8">
        <f>F2+F3</f>
        <v>20698.543255000979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商业与零售</vt:lpstr>
      <vt:lpstr>医疗</vt:lpstr>
      <vt:lpstr>养老</vt:lpstr>
      <vt:lpstr>文体活动</vt:lpstr>
      <vt:lpstr>办公</vt:lpstr>
      <vt:lpstr>幼儿园</vt:lpstr>
      <vt:lpstr>酒店</vt:lpstr>
      <vt:lpstr>消防站</vt:lpstr>
      <vt:lpstr>公共服务设施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 W</dc:creator>
  <cp:lastModifiedBy>admin</cp:lastModifiedBy>
  <dcterms:created xsi:type="dcterms:W3CDTF">2015-06-05T18:17:20Z</dcterms:created>
  <dcterms:modified xsi:type="dcterms:W3CDTF">2022-04-26T10:33:29Z</dcterms:modified>
</cp:coreProperties>
</file>