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2260" windowHeight="12645" activeTab="5"/>
  </bookViews>
  <sheets>
    <sheet name="Sheet1" sheetId="1" r:id="rId1"/>
    <sheet name="Sheet2" sheetId="2" r:id="rId2"/>
    <sheet name="Sheet3" sheetId="3" r:id="rId3"/>
    <sheet name="Sheet4" sheetId="4" r:id="rId4"/>
    <sheet name="Sheet5" sheetId="5" r:id="rId5"/>
    <sheet name="Sheet6" sheetId="6" r:id="rId6"/>
    <sheet name="建筑材料运输" sheetId="7" r:id="rId7"/>
  </sheets>
  <externalReferences>
    <externalReference r:id="rId8"/>
    <externalReference r:id="rId9"/>
    <externalReference r:id="rId10"/>
  </externalReferenc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U24" i="6"/>
  <c r="M36"/>
  <c r="L15" l="1"/>
  <c r="O15" s="1"/>
  <c r="H21" i="2"/>
  <c r="H22"/>
  <c r="H23"/>
  <c r="H24"/>
  <c r="H25"/>
  <c r="H26"/>
  <c r="H27"/>
  <c r="H20"/>
  <c r="H16" i="3"/>
  <c r="H17"/>
  <c r="H18"/>
  <c r="H19"/>
  <c r="H20"/>
  <c r="H15"/>
  <c r="L14" i="6"/>
  <c r="O14" s="1"/>
  <c r="I60" i="5" l="1"/>
  <c r="F8" i="6"/>
  <c r="E2"/>
  <c r="E32" i="3"/>
  <c r="E33"/>
  <c r="E34"/>
  <c r="E35"/>
  <c r="E36"/>
  <c r="E31"/>
  <c r="C7" i="6"/>
  <c r="E12" i="2"/>
  <c r="T14" i="5"/>
  <c r="T15"/>
  <c r="T16"/>
  <c r="T17"/>
  <c r="U17" s="1"/>
  <c r="J2" i="6" l="1"/>
  <c r="J5" s="1"/>
  <c r="L5" s="1"/>
  <c r="E12" i="1"/>
  <c r="T10" i="5"/>
  <c r="V10" i="6" l="1"/>
  <c r="W10" s="1"/>
  <c r="V9"/>
  <c r="W9" s="1"/>
  <c r="V6"/>
  <c r="W6" s="1"/>
  <c r="V4"/>
  <c r="W4" s="1"/>
  <c r="V3"/>
  <c r="W3" s="1"/>
  <c r="V8"/>
  <c r="W8" s="1"/>
  <c r="V7"/>
  <c r="W7" s="1"/>
  <c r="V5"/>
  <c r="W5" s="1"/>
  <c r="J3"/>
  <c r="L3" s="1"/>
  <c r="J13"/>
  <c r="L13" s="1"/>
  <c r="O13" s="1"/>
  <c r="J12"/>
  <c r="L12" s="1"/>
  <c r="J11"/>
  <c r="L11" s="1"/>
  <c r="O11" s="1"/>
  <c r="J7"/>
  <c r="L7" s="1"/>
  <c r="O7" s="1"/>
  <c r="J6"/>
  <c r="L6" s="1"/>
  <c r="O6" s="1"/>
  <c r="V24" s="1"/>
  <c r="J10"/>
  <c r="L10" s="1"/>
  <c r="O10" s="1"/>
  <c r="J9"/>
  <c r="L9" s="1"/>
  <c r="O9" s="1"/>
  <c r="J8"/>
  <c r="J4"/>
  <c r="L4" s="1"/>
  <c r="O3" l="1"/>
  <c r="T18"/>
  <c r="P23"/>
  <c r="P22"/>
  <c r="P21"/>
  <c r="P20"/>
  <c r="P19"/>
  <c r="B21"/>
  <c r="L8"/>
  <c r="B3" i="7" s="1"/>
  <c r="W11" i="6"/>
  <c r="U23" s="1"/>
  <c r="V23" s="1"/>
  <c r="P3"/>
  <c r="B2" i="7"/>
  <c r="R3" i="6"/>
  <c r="S3" s="1"/>
  <c r="R7"/>
  <c r="S7" s="1"/>
  <c r="R6"/>
  <c r="S6" s="1"/>
  <c r="R5"/>
  <c r="S5" s="1"/>
  <c r="R8"/>
  <c r="S8" s="1"/>
  <c r="R4"/>
  <c r="S4" s="1"/>
  <c r="K91" i="5"/>
  <c r="K89"/>
  <c r="E14" i="3"/>
  <c r="D14" i="1"/>
  <c r="E14" i="2"/>
  <c r="U21" i="6" l="1"/>
  <c r="V21" s="1"/>
  <c r="U18"/>
  <c r="M20"/>
  <c r="M19"/>
  <c r="M23"/>
  <c r="M22"/>
  <c r="M21"/>
  <c r="O19"/>
  <c r="O23"/>
  <c r="O22"/>
  <c r="O21"/>
  <c r="O20"/>
  <c r="A7" i="7"/>
  <c r="O8" i="6"/>
  <c r="S9"/>
  <c r="U22" s="1"/>
  <c r="V22" s="1"/>
  <c r="B4" i="7"/>
  <c r="M268" i="5"/>
  <c r="M280"/>
  <c r="M281" s="1"/>
  <c r="M270"/>
  <c r="M278"/>
  <c r="M276"/>
  <c r="M277" s="1"/>
  <c r="R13" s="1"/>
  <c r="T13" s="1"/>
  <c r="M274"/>
  <c r="M272"/>
  <c r="M266"/>
  <c r="K87"/>
  <c r="K85"/>
  <c r="R9" s="1"/>
  <c r="T9" s="1"/>
  <c r="K83"/>
  <c r="K81"/>
  <c r="K79"/>
  <c r="K8"/>
  <c r="K6"/>
  <c r="K4"/>
  <c r="V25" i="6" l="1"/>
  <c r="W25" s="1"/>
  <c r="B20"/>
  <c r="Q19"/>
  <c r="Q23"/>
  <c r="Q22"/>
  <c r="Q21"/>
  <c r="Q20"/>
  <c r="N19"/>
  <c r="N23"/>
  <c r="N22"/>
  <c r="N21"/>
  <c r="N20"/>
  <c r="O16"/>
  <c r="R5" i="5"/>
  <c r="T5" s="1"/>
  <c r="R11"/>
  <c r="T11" s="1"/>
  <c r="R7"/>
  <c r="T7" s="1"/>
  <c r="R3"/>
  <c r="T3" s="1"/>
  <c r="E21" i="4"/>
  <c r="E14"/>
  <c r="E10"/>
  <c r="E21" i="3"/>
  <c r="E20" i="2"/>
  <c r="B4" i="3"/>
  <c r="B4" i="2"/>
  <c r="D27" i="1"/>
  <c r="B4"/>
  <c r="O26" i="6" l="1"/>
  <c r="O32" s="1"/>
  <c r="I6" i="5"/>
  <c r="Q25" i="6"/>
  <c r="Q31" s="1"/>
  <c r="Q28"/>
  <c r="Q34" s="1"/>
  <c r="N27"/>
  <c r="N33" s="1"/>
  <c r="N25"/>
  <c r="N31" s="1"/>
  <c r="Q29"/>
  <c r="Q35" s="1"/>
  <c r="N26"/>
  <c r="N32" s="1"/>
  <c r="M27"/>
  <c r="M33" s="1"/>
  <c r="M28"/>
  <c r="M34" s="1"/>
  <c r="M25"/>
  <c r="M31" s="1"/>
  <c r="P25"/>
  <c r="P31" s="1"/>
  <c r="O29"/>
  <c r="O35" s="1"/>
  <c r="N29"/>
  <c r="N35" s="1"/>
  <c r="N28"/>
  <c r="N34" s="1"/>
  <c r="P29"/>
  <c r="P35" s="1"/>
  <c r="P27"/>
  <c r="P33" s="1"/>
  <c r="P28"/>
  <c r="P34" s="1"/>
  <c r="O25"/>
  <c r="O31" s="1"/>
  <c r="O28"/>
  <c r="O34" s="1"/>
  <c r="Q27"/>
  <c r="Q33" s="1"/>
  <c r="P26"/>
  <c r="P32" s="1"/>
  <c r="Q26"/>
  <c r="Q32" s="1"/>
  <c r="M29"/>
  <c r="M35" s="1"/>
  <c r="O27"/>
  <c r="O33" s="1"/>
  <c r="M26"/>
  <c r="M32" s="1"/>
  <c r="F14" i="2"/>
  <c r="E35"/>
  <c r="E31"/>
  <c r="E28"/>
  <c r="E36"/>
  <c r="F36"/>
  <c r="E32"/>
  <c r="E10"/>
  <c r="F12"/>
  <c r="E28" i="1"/>
  <c r="E35"/>
  <c r="E37"/>
  <c r="E10"/>
  <c r="E20"/>
  <c r="E36"/>
  <c r="F12"/>
  <c r="F14" i="3"/>
  <c r="E29"/>
  <c r="F20" i="2"/>
  <c r="E10" i="3"/>
  <c r="F13"/>
  <c r="F21"/>
  <c r="G21" s="1"/>
  <c r="E13" i="1"/>
  <c r="E14"/>
  <c r="F21" i="4"/>
  <c r="F13"/>
  <c r="N3" i="6" l="1"/>
  <c r="N4"/>
</calcChain>
</file>

<file path=xl/sharedStrings.xml><?xml version="1.0" encoding="utf-8"?>
<sst xmlns="http://schemas.openxmlformats.org/spreadsheetml/2006/main" count="1150" uniqueCount="553">
  <si>
    <t>平阳万达项目</t>
    <phoneticPr fontId="1" type="noConversion"/>
  </si>
  <si>
    <t>项目地上面积</t>
    <phoneticPr fontId="1" type="noConversion"/>
  </si>
  <si>
    <t>项目地下面积</t>
    <phoneticPr fontId="1" type="noConversion"/>
  </si>
  <si>
    <t>项目总建筑面积</t>
    <phoneticPr fontId="1" type="noConversion"/>
  </si>
  <si>
    <t>m2</t>
  </si>
  <si>
    <t>建筑结构</t>
    <phoneticPr fontId="1" type="noConversion"/>
  </si>
  <si>
    <t>混凝土框架结构</t>
    <phoneticPr fontId="1" type="noConversion"/>
  </si>
  <si>
    <t>设计烈度</t>
    <phoneticPr fontId="1" type="noConversion"/>
  </si>
  <si>
    <t>主体结构材料</t>
    <phoneticPr fontId="1" type="noConversion"/>
  </si>
  <si>
    <t>建材种类</t>
    <phoneticPr fontId="1" type="noConversion"/>
  </si>
  <si>
    <t>单位</t>
    <phoneticPr fontId="1" type="noConversion"/>
  </si>
  <si>
    <t>用量</t>
    <phoneticPr fontId="1" type="noConversion"/>
  </si>
  <si>
    <t>大型钢材</t>
    <phoneticPr fontId="1" type="noConversion"/>
  </si>
  <si>
    <t>t</t>
    <phoneticPr fontId="1" type="noConversion"/>
  </si>
  <si>
    <t>中小型钢材</t>
    <phoneticPr fontId="1" type="noConversion"/>
  </si>
  <si>
    <t>轧钢</t>
    <phoneticPr fontId="1" type="noConversion"/>
  </si>
  <si>
    <t>水泥</t>
    <phoneticPr fontId="1" type="noConversion"/>
  </si>
  <si>
    <t>C20混凝土</t>
    <phoneticPr fontId="1" type="noConversion"/>
  </si>
  <si>
    <t>C25混凝土</t>
    <phoneticPr fontId="1" type="noConversion"/>
  </si>
  <si>
    <t>C30混凝土</t>
    <phoneticPr fontId="1" type="noConversion"/>
  </si>
  <si>
    <t>C35混凝土</t>
    <phoneticPr fontId="1" type="noConversion"/>
  </si>
  <si>
    <t>C40混凝土</t>
    <phoneticPr fontId="1" type="noConversion"/>
  </si>
  <si>
    <t>C45混凝土</t>
    <phoneticPr fontId="1" type="noConversion"/>
  </si>
  <si>
    <r>
      <t>m</t>
    </r>
    <r>
      <rPr>
        <vertAlign val="superscript"/>
        <sz val="11"/>
        <color theme="1"/>
        <rFont val="等线"/>
        <family val="3"/>
        <charset val="134"/>
        <scheme val="minor"/>
      </rPr>
      <t>3</t>
    </r>
    <phoneticPr fontId="1" type="noConversion"/>
  </si>
  <si>
    <r>
      <t>m</t>
    </r>
    <r>
      <rPr>
        <vertAlign val="superscript"/>
        <sz val="11"/>
        <color theme="1"/>
        <rFont val="等线"/>
        <family val="2"/>
        <scheme val="minor"/>
      </rPr>
      <t>3</t>
    </r>
    <phoneticPr fontId="1" type="noConversion"/>
  </si>
  <si>
    <t>1:1水泥砂浆</t>
    <phoneticPr fontId="1" type="noConversion"/>
  </si>
  <si>
    <t>1:2水泥砂浆</t>
    <phoneticPr fontId="1" type="noConversion"/>
  </si>
  <si>
    <t>1:3水泥砂浆</t>
    <phoneticPr fontId="1" type="noConversion"/>
  </si>
  <si>
    <t>1:1:6混合砂浆</t>
    <phoneticPr fontId="1" type="noConversion"/>
  </si>
  <si>
    <t>M5混合砂浆</t>
    <phoneticPr fontId="1" type="noConversion"/>
  </si>
  <si>
    <t>M6混合砂浆</t>
    <phoneticPr fontId="1" type="noConversion"/>
  </si>
  <si>
    <t>M7.5混合砂浆</t>
    <phoneticPr fontId="1" type="noConversion"/>
  </si>
  <si>
    <t>M15混合砂浆</t>
    <phoneticPr fontId="1" type="noConversion"/>
  </si>
  <si>
    <t>m3</t>
  </si>
  <si>
    <t>木材</t>
    <phoneticPr fontId="1" type="noConversion"/>
  </si>
  <si>
    <t>普通波特兰水泥</t>
    <phoneticPr fontId="1" type="noConversion"/>
  </si>
  <si>
    <t>石灰</t>
    <phoneticPr fontId="1" type="noConversion"/>
  </si>
  <si>
    <t>石膏</t>
    <phoneticPr fontId="1" type="noConversion"/>
  </si>
  <si>
    <t>生铁</t>
    <phoneticPr fontId="1" type="noConversion"/>
  </si>
  <si>
    <t>铜</t>
    <phoneticPr fontId="1" type="noConversion"/>
  </si>
  <si>
    <t>玻璃</t>
    <phoneticPr fontId="1" type="noConversion"/>
  </si>
  <si>
    <t>加气混凝土砌块</t>
    <phoneticPr fontId="1" type="noConversion"/>
  </si>
  <si>
    <t>混凝土实心砖</t>
    <phoneticPr fontId="1" type="noConversion"/>
  </si>
  <si>
    <t>-</t>
    <phoneticPr fontId="1" type="noConversion"/>
  </si>
  <si>
    <t>沙</t>
    <phoneticPr fontId="1" type="noConversion"/>
  </si>
  <si>
    <t>佛山三水万达项目</t>
    <phoneticPr fontId="1" type="noConversion"/>
  </si>
  <si>
    <t>1:3石灰砂浆</t>
    <phoneticPr fontId="1" type="noConversion"/>
  </si>
  <si>
    <t>-</t>
    <phoneticPr fontId="1" type="noConversion"/>
  </si>
  <si>
    <t>-</t>
    <phoneticPr fontId="1" type="noConversion"/>
  </si>
  <si>
    <t>朝阳万达广场项目</t>
    <phoneticPr fontId="1" type="noConversion"/>
  </si>
  <si>
    <t>现浇混凝土框架结构</t>
    <phoneticPr fontId="1" type="noConversion"/>
  </si>
  <si>
    <t>C15混凝土</t>
    <phoneticPr fontId="1" type="noConversion"/>
  </si>
  <si>
    <t>t</t>
  </si>
  <si>
    <t>t</t>
    <phoneticPr fontId="1" type="noConversion"/>
  </si>
  <si>
    <t>镀锌钢板</t>
    <phoneticPr fontId="1" type="noConversion"/>
  </si>
  <si>
    <t>角钢</t>
    <phoneticPr fontId="1" type="noConversion"/>
  </si>
  <si>
    <t>单位面积用量</t>
    <phoneticPr fontId="1" type="noConversion"/>
  </si>
  <si>
    <t>m2</t>
    <phoneticPr fontId="1" type="noConversion"/>
  </si>
  <si>
    <t>m3</t>
    <phoneticPr fontId="1" type="noConversion"/>
  </si>
  <si>
    <t>块</t>
    <phoneticPr fontId="1" type="noConversion"/>
  </si>
  <si>
    <t>电缆</t>
    <phoneticPr fontId="1" type="noConversion"/>
  </si>
  <si>
    <t>29标准比较指标</t>
    <phoneticPr fontId="1" type="noConversion"/>
  </si>
  <si>
    <t>序号</t>
  </si>
  <si>
    <t>项目编号</t>
  </si>
  <si>
    <t>项　目　名　称</t>
  </si>
  <si>
    <t>计量单位</t>
  </si>
  <si>
    <t>工程量</t>
  </si>
  <si>
    <t>金额（元）</t>
  </si>
  <si>
    <t>备注</t>
  </si>
  <si>
    <t>综合单价</t>
  </si>
  <si>
    <t>综合合价</t>
  </si>
  <si>
    <t>A</t>
  </si>
  <si>
    <t>土建工程</t>
  </si>
  <si>
    <t>A.1</t>
  </si>
  <si>
    <t>A.1土(石)方工程</t>
  </si>
  <si>
    <t xml:space="preserve">平整场地 </t>
  </si>
  <si>
    <t xml:space="preserve">  1.土方挖填(土质综合考虑)</t>
  </si>
  <si>
    <t xml:space="preserve">  2.场地找平</t>
  </si>
  <si>
    <t xml:space="preserve">  3.土方场内外运输</t>
  </si>
  <si>
    <t xml:space="preserve">挖基础土方 </t>
  </si>
  <si>
    <t xml:space="preserve">  1.排地表水</t>
  </si>
  <si>
    <t xml:space="preserve">  2.土方开挖(不分土质、挖土方式、挖土深度）</t>
  </si>
  <si>
    <t xml:space="preserve">  3.土方场内外运输（运距综合考虑）</t>
  </si>
  <si>
    <t xml:space="preserve">  4.余泥排放</t>
  </si>
  <si>
    <t>人工(机械)挖孔桩土方</t>
  </si>
  <si>
    <t>1、人工(机械)挖孔桩挖土方（不分土质、挖土方式、挖土深度）</t>
  </si>
  <si>
    <t>2、土方场内外运输(运距综合考虑)</t>
  </si>
  <si>
    <t>3、余泥排放</t>
  </si>
  <si>
    <t>人工(机械)挖孔桩石方</t>
  </si>
  <si>
    <t>1、人工(机械)挖孔桩挖石方（深度、挖掘方式综合考虑）</t>
  </si>
  <si>
    <t>2、桩入岩石、桩扩大头等综合考虑</t>
  </si>
  <si>
    <t>3、石方场内外运输(运距综合考虑)</t>
  </si>
  <si>
    <t>4、余泥排放</t>
  </si>
  <si>
    <t xml:space="preserve">土(石)方回填 </t>
  </si>
  <si>
    <t xml:space="preserve">  1.回填土，不分土质、回填方式、土方来源（含旧土利用和外运土料开采等综合考虑）</t>
  </si>
  <si>
    <t xml:space="preserve">  2.分层碾压、夯实</t>
  </si>
  <si>
    <t>A.2</t>
  </si>
  <si>
    <t>A.2地基与桩基础工程</t>
  </si>
  <si>
    <t>人工(机械)挖孔桩护壁</t>
  </si>
  <si>
    <t>1、人工(机械)挖孔桩护壁（桩径、深度综合考虑）</t>
  </si>
  <si>
    <t>2、护壁C25混凝土制作、运输、浇筑                                                                                         3、详见结构ABG04号图</t>
  </si>
  <si>
    <t>人工(机械)挖孔桩桩芯</t>
  </si>
  <si>
    <t>1、人工(机械)挖孔桩桩芯（桩径、深度综合考虑）</t>
  </si>
  <si>
    <t>2、C25混凝土制作、运输、泵送、浇筑</t>
  </si>
  <si>
    <t>3、采用商品混凝土                                                                                         4、详见结构ABG04号图</t>
  </si>
  <si>
    <t>A.3</t>
  </si>
  <si>
    <t>A.3砌筑工程</t>
  </si>
  <si>
    <t xml:space="preserve">砖基础 </t>
  </si>
  <si>
    <t xml:space="preserve">  1.MU10灰砂砖,M10水泥砂浆砌筑</t>
  </si>
  <si>
    <t xml:space="preserve">  2.防潮层铺设</t>
  </si>
  <si>
    <t>A.4</t>
  </si>
  <si>
    <t>A.4混凝土及钢筋混凝土工程</t>
  </si>
  <si>
    <t xml:space="preserve">基础 </t>
  </si>
  <si>
    <t xml:space="preserve">  1.C10砼垫层</t>
  </si>
  <si>
    <t xml:space="preserve">  2.混凝土制作、运输、泵送、浇筑、振捣、养护</t>
  </si>
  <si>
    <t xml:space="preserve">  3.采用商品混凝土</t>
  </si>
  <si>
    <t xml:space="preserve">桩承台基础 </t>
  </si>
  <si>
    <t xml:space="preserve">  1.C25砼桩承台基础</t>
  </si>
  <si>
    <t>矩形柱(0.00以下)</t>
  </si>
  <si>
    <t xml:space="preserve">  1.C30砼矩形柱</t>
  </si>
  <si>
    <t xml:space="preserve">基础梁 </t>
  </si>
  <si>
    <t xml:space="preserve">  1.C25砼基础梁</t>
  </si>
  <si>
    <t>现浇混凝土钢筋</t>
  </si>
  <si>
    <t>（±0.00以下）</t>
  </si>
  <si>
    <t xml:space="preserve">  1.现浇构件钢筋,φ10以内（Ⅰ圆钢、螺纹钢、钢筋等级综合考虑）</t>
  </si>
  <si>
    <t xml:space="preserve">  2.钢筋制作、运输、安装</t>
  </si>
  <si>
    <t>现浇混凝土钢筋  （±0.00以下）</t>
  </si>
  <si>
    <t xml:space="preserve">  1.现浇构件钢筋,φ10以上（Ⅱ级圆钢、螺纹钢、钢筋等级综合考虑）</t>
  </si>
  <si>
    <t xml:space="preserve">  1.现浇构件钢筋,φ10以上（Ⅲ级圆钢、螺纹钢、钢筋等级综合考虑）</t>
  </si>
  <si>
    <t>钢筋笼</t>
  </si>
  <si>
    <t xml:space="preserve">  1.现浇构件钢筋笼</t>
  </si>
  <si>
    <t>合计</t>
  </si>
  <si>
    <t>地下结构施工</t>
    <phoneticPr fontId="1" type="noConversion"/>
  </si>
  <si>
    <t>混凝土</t>
    <phoneticPr fontId="1" type="noConversion"/>
  </si>
  <si>
    <t>钢筋</t>
    <phoneticPr fontId="1" type="noConversion"/>
  </si>
  <si>
    <t>砂浆</t>
    <phoneticPr fontId="1" type="noConversion"/>
  </si>
  <si>
    <t>花池内铺种植土</t>
  </si>
  <si>
    <t>1. 种植土</t>
  </si>
  <si>
    <t>2. 卵石</t>
  </si>
  <si>
    <t xml:space="preserve">砖砌台阶 </t>
  </si>
  <si>
    <t xml:space="preserve">  1.M10混合砂浆，MU10砖砌台阶</t>
  </si>
  <si>
    <t xml:space="preserve">  2.面抹1:2.5水泥砂浆20厚</t>
  </si>
  <si>
    <t xml:space="preserve">  3.土方挖、运、填、基底平整夯实</t>
  </si>
  <si>
    <t xml:space="preserve">零星砌体  </t>
  </si>
  <si>
    <t xml:space="preserve">  1.A3.5级蒸压加气混凝土砌块(综合考虑等级、内外墙）</t>
  </si>
  <si>
    <t xml:space="preserve">  2.Mb5混合砂浆砌筑</t>
  </si>
  <si>
    <t>砖过梁</t>
  </si>
  <si>
    <t xml:space="preserve">  1.MU10灰砂砖,M10混合砂浆砌筑</t>
  </si>
  <si>
    <t>砖砌电缆沟</t>
  </si>
  <si>
    <t xml:space="preserve">  1.MU10灰沙砖,M10水泥砂浆砌筑</t>
  </si>
  <si>
    <t xml:space="preserve">砌块墙 </t>
  </si>
  <si>
    <t xml:space="preserve">  1.A3.5级蒸压加气混凝土砌块(综合考虑等级、厚度、内墙）</t>
  </si>
  <si>
    <t xml:space="preserve">  1.A5级蒸压加气混凝土砌块(综合考虑等级、厚度、内墙）</t>
  </si>
  <si>
    <t xml:space="preserve">地坪(室内外地坪） </t>
  </si>
  <si>
    <t>1. 混凝土地坪100mm厚</t>
  </si>
  <si>
    <t>2. 混凝土制作、运输、浇筑、养护</t>
  </si>
  <si>
    <t>3. 混凝土强度等级C15</t>
  </si>
  <si>
    <t>4. 平整场地、室内填土、夯实与运土（密实度大于95%）</t>
  </si>
  <si>
    <t>5. 地坪内外地台高差综合考虑</t>
  </si>
  <si>
    <t>6. 采用商品混凝土</t>
  </si>
  <si>
    <t xml:space="preserve">矩形柱 </t>
  </si>
  <si>
    <t xml:space="preserve">  1.C25砼矩形柱</t>
  </si>
  <si>
    <t xml:space="preserve">  2.混凝土制作、运输、泵送、浇筑、振捣养护</t>
  </si>
  <si>
    <t xml:space="preserve">构造柱 </t>
  </si>
  <si>
    <t xml:space="preserve">  1.C20砼构造柱</t>
  </si>
  <si>
    <t xml:space="preserve">矩形梁 </t>
  </si>
  <si>
    <t xml:space="preserve">  1.C25砼单梁、连续梁、框架梁</t>
  </si>
  <si>
    <t>弧形梁</t>
  </si>
  <si>
    <t xml:space="preserve">  1.C30砼弧形梁</t>
  </si>
  <si>
    <t xml:space="preserve">圈梁 </t>
  </si>
  <si>
    <t xml:space="preserve">  1.C20砼圈梁</t>
  </si>
  <si>
    <t xml:space="preserve">过梁 </t>
  </si>
  <si>
    <t xml:space="preserve">  1.C20砼过梁</t>
  </si>
  <si>
    <t xml:space="preserve">有梁板 </t>
  </si>
  <si>
    <t xml:space="preserve">  1.C25砼有梁板</t>
  </si>
  <si>
    <t>屋面、卫生间、阳台周边反边、挡水</t>
  </si>
  <si>
    <t>1.屋面、卫生间、阳台周边砼挡水带</t>
  </si>
  <si>
    <t>2.混凝土制作、运输、浇筑、养护</t>
  </si>
  <si>
    <t>3.混凝土强度等级C20</t>
  </si>
  <si>
    <t>4.采用商品混凝土</t>
  </si>
  <si>
    <t xml:space="preserve">天沟、挑檐板 </t>
  </si>
  <si>
    <t xml:space="preserve">  1.C25砼天沟、挑檐板</t>
  </si>
  <si>
    <t xml:space="preserve">雨篷 </t>
  </si>
  <si>
    <t xml:space="preserve">  1.C25砼雨篷</t>
  </si>
  <si>
    <t xml:space="preserve">直形楼梯 </t>
  </si>
  <si>
    <t xml:space="preserve">  1.C25砼直形楼梯</t>
  </si>
  <si>
    <t xml:space="preserve">其他构件 </t>
  </si>
  <si>
    <t xml:space="preserve">  1.C20砼压顶</t>
  </si>
  <si>
    <t xml:space="preserve">  1.C20砼小型构件</t>
  </si>
  <si>
    <t xml:space="preserve">散水 </t>
  </si>
  <si>
    <t xml:space="preserve">  1.地基夯实，向外找坡5％</t>
  </si>
  <si>
    <t xml:space="preserve">  2.散水混凝土60mm厚</t>
  </si>
  <si>
    <t xml:space="preserve">  3.混凝土制作、运输、浇筑、养护</t>
  </si>
  <si>
    <t xml:space="preserve">  4.细石混凝土强度等级C15</t>
  </si>
  <si>
    <t xml:space="preserve">  5.1:3水泥砂浆抹面20mm厚</t>
  </si>
  <si>
    <t xml:space="preserve">坡道 </t>
  </si>
  <si>
    <t xml:space="preserve">  1.地基夯实</t>
  </si>
  <si>
    <t xml:space="preserve">  2.斜坡混凝土150mm厚</t>
  </si>
  <si>
    <t xml:space="preserve">  3.20厚1：2.5水泥砂浆抹面（做成搓步）</t>
  </si>
  <si>
    <t xml:space="preserve">  4.混凝土制作、运输、浇筑、养护</t>
  </si>
  <si>
    <t xml:space="preserve">  5.混凝土强度等级C15</t>
  </si>
  <si>
    <t>坡道(无障碍坡道)</t>
  </si>
  <si>
    <t xml:space="preserve">  2.斜坡混凝土100mm厚</t>
  </si>
  <si>
    <t xml:space="preserve">预制沟盖板、井盖板、井圈、屋面板 </t>
  </si>
  <si>
    <t xml:space="preserve">  1.混凝土制作、运输、浇筑、振捣、养护</t>
  </si>
  <si>
    <t xml:space="preserve">  2.构件制件、运输</t>
  </si>
  <si>
    <t xml:space="preserve">  3.构件安装</t>
  </si>
  <si>
    <t xml:space="preserve">  4.混凝土强度等级C20</t>
  </si>
  <si>
    <t xml:space="preserve">  5.接头灌缝、养护</t>
  </si>
  <si>
    <t>（±0.00以上）</t>
  </si>
  <si>
    <t>现浇混凝土钢筋  （±0.00以上）</t>
  </si>
  <si>
    <t xml:space="preserve">  1.现浇构件钢筋,φ10以内（Ⅱ级圆钢、螺纹钢、钢筋等级综合考虑）</t>
  </si>
  <si>
    <t xml:space="preserve">  1.现浇构件钢筋,φ10以上（Ⅰ圆钢、螺纹钢、钢筋等级综合考虑）</t>
  </si>
  <si>
    <t xml:space="preserve">预制构件钢筋 </t>
  </si>
  <si>
    <t xml:space="preserve">  1.预制构件圆钢 Ф10内（圆钢、螺纹钢、钢筋等级综合考虑）</t>
  </si>
  <si>
    <t xml:space="preserve">预埋铁件 </t>
  </si>
  <si>
    <t xml:space="preserve">  1.预埋件制作、运输、安装</t>
  </si>
  <si>
    <t>A.7</t>
  </si>
  <si>
    <t>A.7屋面及防水工程</t>
  </si>
  <si>
    <t xml:space="preserve">屋面涂膜防水 </t>
  </si>
  <si>
    <t>1. 刷基底处理剂一遍</t>
  </si>
  <si>
    <t>2. 2mm厚聚氨酯防水涂料</t>
  </si>
  <si>
    <t>3. 干铺塑料膜一层</t>
  </si>
  <si>
    <t>墙面一般抹灰(适用干挂石材外墙面)</t>
  </si>
  <si>
    <t>1.外刷1.2厚聚氨酯防水涂料</t>
  </si>
  <si>
    <t>砂浆防水(潮)</t>
  </si>
  <si>
    <t>(下层为餐厅、商铺沉箱为双层板的做法)</t>
  </si>
  <si>
    <t>1. 卫生间沉箱平面、立面</t>
  </si>
  <si>
    <t>2. 刷素水泥浆一遍</t>
  </si>
  <si>
    <t>3. 20mm厚1:2.5防水砂浆</t>
  </si>
  <si>
    <t>砂浆防水(潮)(一般卫生间沉箱)</t>
  </si>
  <si>
    <t>2. 15mm厚1:2.5水泥砂浆找平层</t>
  </si>
  <si>
    <t>3. 5厚1:2.5聚合物水泥防水砂浆防水层</t>
  </si>
  <si>
    <t>砂浆防水(卫生间墙面)</t>
  </si>
  <si>
    <t>1. 15厚1：2.5防水砂浆找平（掺5％防水剂）</t>
  </si>
  <si>
    <t>2. 5厚1：2.5聚合物防水砂浆防水层</t>
  </si>
  <si>
    <t>外墙变形缝</t>
  </si>
  <si>
    <t>1. 两侧:150宽钢丝网 , ф6膨胀螺栓@300,预埋木砖                                                                                                                            2.填缝:50厚阻燃EPS,0.6厚镀锌铁皮,用建筑胶粘牢                                                                                                                        3. 详见皖03J903图集1/5</t>
  </si>
  <si>
    <t>m</t>
  </si>
  <si>
    <t>1.两侧:150宽钢丝网,ф6膨胀螺栓@300,预埋木砖                                                                                                                            2.填缝:50厚软质泡沫塑料,用建筑胶或热沥青粘牢                                                                                                                        3.详见皖03J903图集2/5</t>
  </si>
  <si>
    <t>内墙及顶棚变形缝</t>
  </si>
  <si>
    <t>1.两侧:150宽钢丝网,预埋木砖                                                                                                                                                                                                                                  2. 1厚铝板填缝                                                                                                                      3.详见皖03J903图集4/8</t>
  </si>
  <si>
    <t>楼地面变形缝</t>
  </si>
  <si>
    <t>1.两侧钢钉虚钉L35@500,1:2水泥砂浆,6厚钢板填缝                                                                                                                               2.详见皖03J903图集3/20</t>
  </si>
  <si>
    <t>变形缝</t>
  </si>
  <si>
    <t>1.卷材内填嵌缝膏</t>
  </si>
  <si>
    <t>2.填沥青麻丝                                                                                                                3.详见J21-4大样图</t>
  </si>
  <si>
    <t>1.油膏填嵌缝                                                                                                               2.详见J19-1/3大样图</t>
  </si>
  <si>
    <t>分户栏杆变形缝</t>
  </si>
  <si>
    <t xml:space="preserve">1. 油膏填嵌缝   </t>
  </si>
  <si>
    <t>2 .防腐木砖@500mm</t>
  </si>
  <si>
    <t>3. 24号镀锌铁皮</t>
  </si>
  <si>
    <t>4. 35mm长钢钉@300mm                                                                                                           5. 详见J2-3-11大样图</t>
  </si>
  <si>
    <t>1.沥青麻丝                                                                                                         2.详见J2-3-11大样图</t>
  </si>
  <si>
    <t>A.8</t>
  </si>
  <si>
    <t>A.8防腐、隔热、保温工程</t>
  </si>
  <si>
    <t>保温隔热屋面</t>
  </si>
  <si>
    <t>(屋面层)</t>
  </si>
  <si>
    <t xml:space="preserve">  1.基层清理</t>
  </si>
  <si>
    <t xml:space="preserve">  2.40厚挤塑型聚苯板保温层(干铺)</t>
  </si>
  <si>
    <t>混凝土砌块</t>
    <phoneticPr fontId="1" type="noConversion"/>
  </si>
  <si>
    <t>灰砖</t>
    <phoneticPr fontId="1" type="noConversion"/>
  </si>
  <si>
    <t>B</t>
  </si>
  <si>
    <t>装饰工程</t>
  </si>
  <si>
    <t>B.1</t>
  </si>
  <si>
    <t>B.1楼地面工程</t>
  </si>
  <si>
    <t>水泥砂浆楼地面</t>
  </si>
  <si>
    <t>(适用于地砖楼地面)</t>
  </si>
  <si>
    <t>1、20厚1:2水泥砂浆找平层</t>
  </si>
  <si>
    <t>(楼梯地砖地面)</t>
  </si>
  <si>
    <t>找平层</t>
  </si>
  <si>
    <t>（设备用房）</t>
  </si>
  <si>
    <t xml:space="preserve"> 1. 刷素水泥浆一道</t>
  </si>
  <si>
    <t xml:space="preserve"> 2. 20厚1：2水泥砂浆抹面压光</t>
  </si>
  <si>
    <t xml:space="preserve"> 3. 面刷地板漆</t>
  </si>
  <si>
    <t>找平层(平屋面、阳台、卫生间)</t>
  </si>
  <si>
    <t>1. 1:2.5水泥砂浆找坡,最薄处20厚(找坡1%-2%)</t>
  </si>
  <si>
    <t>整体面层</t>
  </si>
  <si>
    <t>(平屋面3)</t>
  </si>
  <si>
    <t>1. 20厚1：2.5水泥砂浆抹平压光                                                                              2. 做i=5%流水坡度和滴水线槽</t>
  </si>
  <si>
    <t>(窗台、雨蓬、飘檐、压顶)</t>
  </si>
  <si>
    <t xml:space="preserve">找平层（卫生间） </t>
  </si>
  <si>
    <t>1. 25厚C20细石砼找平层</t>
  </si>
  <si>
    <t xml:space="preserve">找平层（平屋面4） </t>
  </si>
  <si>
    <t>1. 40厚C20细石砼抹平压光</t>
  </si>
  <si>
    <t>块料楼地面</t>
  </si>
  <si>
    <t>(商铺、超市、员工活动中心、办公室、宿舍、走道等)</t>
  </si>
  <si>
    <t>1. 20mm厚1:4干硬性水泥砂浆，面上撒素水泥</t>
  </si>
  <si>
    <t>2. 面铺600×600地砖(卓远TPA06008)(暂定)</t>
  </si>
  <si>
    <t>3. 水泥浆擦缝</t>
  </si>
  <si>
    <t>块料楼地面（卫生间、清洁间）</t>
  </si>
  <si>
    <t>1.  20mm厚1:4干硬性水泥砂浆，面上撒素水泥</t>
  </si>
  <si>
    <t>2. 面铺330*330防滑地砖(圣陶坊 30016)(暂定)</t>
  </si>
  <si>
    <t>块料楼梯面层 (楼梯)</t>
  </si>
  <si>
    <t xml:space="preserve"> 1. 20mm厚1:4干硬性水泥砂浆，面上撒素水泥</t>
  </si>
  <si>
    <t xml:space="preserve"> 2.铺贴600mm长梯级砖(卓远 TPA06008)(暂定)</t>
  </si>
  <si>
    <t>3. 水泥浆砂擦缝</t>
  </si>
  <si>
    <t xml:space="preserve">块料楼地面 （平屋面1、2及阳台） </t>
  </si>
  <si>
    <t>1. 25mm厚1:4干硬性水泥砂浆，面上撒素水泥</t>
  </si>
  <si>
    <t>2. 面铺330*330地砖(圣陶坊 30016)(暂定)</t>
  </si>
  <si>
    <t>3. 缝宽5~8mm，1:1水泥浆砂填缝</t>
  </si>
  <si>
    <t xml:space="preserve">石材楼地面 （楼梯侧压边块材） </t>
  </si>
  <si>
    <t>1.素水泥浆一遍</t>
  </si>
  <si>
    <t>2. 30mm厚1:4干硬性水泥砂浆，面上撒素水泥</t>
  </si>
  <si>
    <t>3. 面铺20mm厚光面绣石(暂定)</t>
  </si>
  <si>
    <t>块料踢脚线 (商铺、办公室、宿舍、走道等)</t>
  </si>
  <si>
    <t>1. 4~5厚1:1水泥砂浆加水重20%801胶粘结层</t>
  </si>
  <si>
    <t>2. 面铺600×100(卓远TPA06008)(暂定)</t>
  </si>
  <si>
    <t xml:space="preserve">   8-10厚地砖砖铺实拍平</t>
  </si>
  <si>
    <t xml:space="preserve">块料踢脚线 (阳台） </t>
  </si>
  <si>
    <t>1.4~5厚1:1水泥砂浆加水重20%801胶粘结层</t>
  </si>
  <si>
    <t>2. 面贴地脚线100×330(圣陶坊 30016)(暂定)</t>
  </si>
  <si>
    <t xml:space="preserve">块料踢脚线 (楼梯） </t>
  </si>
  <si>
    <t>2. 面贴600*100地脚线(卓远 TPA06008)(暂定)</t>
  </si>
  <si>
    <t>金属扶手带栏杆 (暂定)</t>
  </si>
  <si>
    <t>1. 扶手带栏杆高850mm</t>
  </si>
  <si>
    <t>2. 钢管扶手φ40mm（壁厚1.2）</t>
  </si>
  <si>
    <t>3. 栏杆立杆:φ30*0.8厚@140钢管                                                                                              4. 扶手带栏杆除锈、油防锈漆、油面漆(超级油霸漆,菊花牌)                                                     5. 制作、运输、安装(详见大样J2-3/11)</t>
  </si>
  <si>
    <t>金属扶手带栏杆、栏板</t>
  </si>
  <si>
    <t>1. 扶手带栏杆高350mm</t>
  </si>
  <si>
    <t xml:space="preserve">2. 扶手50*50方钢管（壁厚2.0）                                                                                                   3. 栏杆横杆:二条30*30方钢管（壁厚1.5）                                                                                      </t>
  </si>
  <si>
    <t>4. 栏杆立杆:30*30方钢管（壁厚1.5），间距600mm均布</t>
  </si>
  <si>
    <t>5. 扶手带栏杆除锈、油防锈漆、油面漆(超级油霸漆,菊花牌)                                                                                     6. 制作、运输、安装(详见大样J2-3/11)</t>
  </si>
  <si>
    <t xml:space="preserve">金属扶手带栏杆、栏板 </t>
  </si>
  <si>
    <t>1. 扶手带栏杆高500mm</t>
  </si>
  <si>
    <t xml:space="preserve">2. 扶手50*50方钢管（壁厚2.0）                                                                                                             3. 栏杆横杆:三条30*30方钢管（壁厚1.5）                                                                                                        </t>
  </si>
  <si>
    <t xml:space="preserve">5. 扶手带栏杆除锈、油防锈漆、油面漆(超级油霸漆,菊花牌)                                                                               </t>
  </si>
  <si>
    <t>6. 制作、运输、安装(详见建筑J19-5大样)</t>
  </si>
  <si>
    <t>1. 扶手带栏杆高650mm</t>
  </si>
  <si>
    <t>2. 扶手50*50方钢管（壁厚2.0）                                                                                                                 3. 栏杆横杆:四条30*30方钢横杆（壁厚1.5）</t>
  </si>
  <si>
    <t>5. 扶手带栏杆除锈、油防锈漆、油面漆(超级油霸漆,菊花牌)                                                                                                                                                                  6. 制作、运输、安装(详见建筑J22-2大样)</t>
  </si>
  <si>
    <t>1. 扶手带栏杆高750mm</t>
  </si>
  <si>
    <t>2. 扶手50*50方钢管（壁厚2.0）                                                                                                     3. 栏杆横杆:五条30*30方钢横杆（壁厚1.5）</t>
  </si>
  <si>
    <t>4. 栏杆立杆:30*30方钢管（壁厚1.5），中距600mm均布</t>
  </si>
  <si>
    <t>5. 扶手带栏杆除锈、油防锈漆、油面漆(超级油霸漆,菊花牌)                                                                                         6.制作、运输、安装(详见建筑J19-1大样)</t>
  </si>
  <si>
    <t>2. 扶手50*50方钢管（壁厚2.0）                                                                       3. 栏杆横杆:五条30*30方钢管横杆（壁厚1.5）</t>
  </si>
  <si>
    <t>5. 扶手带栏杆除锈、油防锈漆、油面漆(超级油霸漆,菊花牌)                                                                                         6. 制作、运输、安装(详见建筑J19-2大样)</t>
  </si>
  <si>
    <t>1. 扶手带栏杆高1000mm</t>
  </si>
  <si>
    <t>2. 扶手50*50方钢管（壁厚2.0）</t>
  </si>
  <si>
    <t>3. 栏杆立杆:30*30方钢管（壁厚1.5）,间距110mm均布</t>
  </si>
  <si>
    <t>4. 扶手带栏杆除锈、油防锈漆、油面漆(超级油霸漆,菊花牌)                                                                       5.制作、运输、安装(详见建筑J19-1大样)</t>
  </si>
  <si>
    <t>硬木扶手带栏杆、栏板</t>
  </si>
  <si>
    <t>（楼梯斜段栏杆）</t>
  </si>
  <si>
    <t>1. 扶手带栏杆高900mm</t>
  </si>
  <si>
    <t>2. 硬木扶手60*100</t>
  </si>
  <si>
    <t>3. 栏杆横杆:40*4钢板通长打孔穿立杆                                                                                  4. 栏杆立杆:Φ25钢管立管；60*4钢板，金粉面漆</t>
  </si>
  <si>
    <t>5. 扶手带栏杆除锈、油防锈漆、油面漆(超级油霸漆,菊花牌)                                                          6. 制作、运输、安装 (详见大样图J2-2/4)</t>
  </si>
  <si>
    <t>（室内楼梯）</t>
  </si>
  <si>
    <t>1. 扶手带栏杆高1050mm</t>
  </si>
  <si>
    <t>（商铺食铺楼梯）(暂按室内楼梯大样做法)</t>
  </si>
  <si>
    <t>2. 硬木扶手60*100                                                3. 栏杆横杆:40*4钢板通长打孔穿立杆</t>
  </si>
  <si>
    <t>4. 栏杆立杆:Φ25钢管立管；60*4钢板，金粉面漆</t>
  </si>
  <si>
    <t>5. 扶手带栏杆除锈、油防锈漆、油面漆(超级油霸漆,菊花牌)                                                               6. 制作、运输、安装</t>
  </si>
  <si>
    <t>不锈钢坡道扶手(无障碍坡道扶手)</t>
  </si>
  <si>
    <t>2  不锈钢管扶手φ40mm</t>
  </si>
  <si>
    <t>3. 横杆：2条φ40不锈钢管                                                                                                                    4. 栏杆立杆φ40mm不锈钢管,间距800mm</t>
  </si>
  <si>
    <t>5. 制作、运输、安装,详无障碍坡道扶手做法图集皖01J-307(1/6)</t>
  </si>
  <si>
    <t>铝合金隔栅</t>
  </si>
  <si>
    <t>1.50*30mm铝合金方管，壁厚1.0，间距150mm设置一条</t>
  </si>
  <si>
    <t>2.铝合金制作、运输、安装、五金构件制安                                                                                                                 3.详见建筑J16-10大样图</t>
  </si>
  <si>
    <t>1.150*50mm铝合金方管，壁厚2.0，间距200mm设置一条</t>
  </si>
  <si>
    <t>2.铝合金制作、运输、安装、五金构件制安                                                                                                                 3.详见建筑J21-9/3大样图</t>
  </si>
  <si>
    <t>1.隔栅横杆50*30mm铝合金方管，壁厚1.0，每隔150mm设置一条</t>
  </si>
  <si>
    <t>2.隔栅竖杆50*30mm铝合金方管，壁厚1.0，每隔690-900mm设置一条</t>
  </si>
  <si>
    <t>3.铝合金制作、运输、安装、五金构件制安                                                                                               4.详见建筑J16-6、7大样图</t>
  </si>
  <si>
    <t>B.2</t>
  </si>
  <si>
    <t>B.2墙、柱面工程</t>
  </si>
  <si>
    <t>墙面一般抹灰(适用于涂料内墙面)</t>
  </si>
  <si>
    <t xml:space="preserve">1. 综合考虑墙、梁、柱面及零星部位 </t>
  </si>
  <si>
    <t>2. 15厚1:1:6水泥石灰砂浆,分两次抹灰</t>
  </si>
  <si>
    <t>3. 5厚1:0.5:3水泥石灰砂浆抹面</t>
  </si>
  <si>
    <t>4. 墙体阳角处均做1:2.5水泥砂浆护角（2m高，每边宽80mm）</t>
  </si>
  <si>
    <t>1.综合考虑墙、梁、柱面及零星部位</t>
  </si>
  <si>
    <t>2.20厚1：2.5水泥砂浆</t>
  </si>
  <si>
    <t>墙面一般抹灰(适用于外墙面涂料及外墙砖)</t>
  </si>
  <si>
    <t>2.界面剂砂浆</t>
  </si>
  <si>
    <t>3.胶粉聚苯颗粒保温浆料30厚</t>
  </si>
  <si>
    <t>墙面一般抹灰（面砖内墙面）</t>
  </si>
  <si>
    <t>1. 综合考虑墙、梁、柱面及零星部位</t>
  </si>
  <si>
    <t xml:space="preserve">2. 15厚1：2.5防水砂浆（掺5％防水剂）找平层  </t>
  </si>
  <si>
    <t>3. 5厚1：2.5聚合物防水砂浆防水层</t>
  </si>
  <si>
    <t>4. 刷素水泥浆一道</t>
  </si>
  <si>
    <t>外墙砖墙面</t>
  </si>
  <si>
    <t>2.4~5厚1：1水泥砂浆加水重20%801胶镶贴</t>
  </si>
  <si>
    <t>3.面粘外墙砖（白兔瓷砖5459-1）无缝工字贴</t>
  </si>
  <si>
    <t>4. 水泥砂浆沟缝灰缝                                                                                                        5.做法详见建筑设计说明及建筑图10-外墙材料一览表</t>
  </si>
  <si>
    <t>3.面粘外墙砖（白兔瓷砖5459-2）无缝工字贴</t>
  </si>
  <si>
    <t>3.面粘外墙砖（白兔瓷砖TSP80072）无缝工字贴</t>
  </si>
  <si>
    <t>020204003004*</t>
  </si>
  <si>
    <t>块料墙面 (卫生间.洗消间.开水间.卫生间走道)</t>
  </si>
  <si>
    <t>2. 4~5厚1:1水泥砂浆加水重801胶粘结层</t>
  </si>
  <si>
    <t>3. 面贴墙面砖 330*250(景祥 9231)(暂定)</t>
  </si>
  <si>
    <t>4. 水泥浆擦缝</t>
  </si>
  <si>
    <t>墙面挂网</t>
  </si>
  <si>
    <t>（内墙）</t>
  </si>
  <si>
    <t xml:space="preserve">1. 综合考虑墙、梁、柱面及零星部位  </t>
  </si>
  <si>
    <t>2. 2-3厚聚合物水泥砂浆,随即压入耐碱玻璃纤维网格布</t>
  </si>
  <si>
    <t>（外墙）</t>
  </si>
  <si>
    <t>2.墙面挂金属网（5厚聚合物抗裂砂浆复合热镀锌钢丝网）</t>
  </si>
  <si>
    <t>石材墙面</t>
  </si>
  <si>
    <t>1.在钢筋混凝土梁柱上固定安装龙骨</t>
  </si>
  <si>
    <t>2.石材板高度安装配套水平不锈钢托板及舌板</t>
  </si>
  <si>
    <t>3.30厚仿砂岩浮雕,用环氧树脂胶固定梢钉;板材接缝宽5-8,用硅酮密封胶填缝.</t>
  </si>
  <si>
    <t>B.3</t>
  </si>
  <si>
    <t>B.3天棚工程</t>
  </si>
  <si>
    <t>天棚抹灰</t>
  </si>
  <si>
    <t>1. 7厚1:1:4水泥石灰砂浆打底</t>
  </si>
  <si>
    <t>2. 5厚1：0.5：3水泥石灰浆抹面</t>
  </si>
  <si>
    <t>B.4</t>
  </si>
  <si>
    <t>B.4门窗工程</t>
  </si>
  <si>
    <t>塑钢平开门（暂定价）</t>
  </si>
  <si>
    <t>1.塑钢框玻璃平开门制作安装</t>
  </si>
  <si>
    <t>2.综合考虑玻璃的种类、规格、厚度</t>
  </si>
  <si>
    <t>(具体做法按图纸及规范)</t>
  </si>
  <si>
    <t xml:space="preserve">3.门锁制安                                                                                                      4.刷防护材料、油漆   </t>
  </si>
  <si>
    <t>塑钢平开窗（暂定价）</t>
  </si>
  <si>
    <t>1.塑钢框玻璃平开窗制作安装</t>
  </si>
  <si>
    <t xml:space="preserve">3.门锁制安                                                                                                      4.刷防护材料、油漆 </t>
  </si>
  <si>
    <t>不锈钢玻璃平开门(详见门窗详图及建筑J20-1、3)（暂定价）</t>
  </si>
  <si>
    <t xml:space="preserve">1、铝合金平开门制作安装  </t>
  </si>
  <si>
    <t>2、规格、开启方式综合考虑(具体做法按图纸及规范)</t>
  </si>
  <si>
    <t>3、角钢焊接骨架，外包不锈钢板                                                                                                                            4、门锁制安</t>
  </si>
  <si>
    <t xml:space="preserve">5、刷防护材料、油漆                                                                                                              </t>
  </si>
  <si>
    <t xml:space="preserve">铝合金推拉门（暂定价）                                                                                                                                                                         1、铝合金门制作安装   </t>
  </si>
  <si>
    <t>3、门锁制安</t>
  </si>
  <si>
    <t>4、刷防护材料、油漆</t>
  </si>
  <si>
    <t xml:space="preserve">铝合金平开门（暂定价）                                                                                                                                                                         1、铝合金门制作安装  </t>
  </si>
  <si>
    <t>铝合金推拉窗（暂定价）                                      1、铝合金窗制作安装</t>
  </si>
  <si>
    <t>铝合金平开窗（暂定价）                                      1、铝合金窗制作安装</t>
  </si>
  <si>
    <t>钢窗（变压器室）（暂定价）</t>
  </si>
  <si>
    <t>1、钢窗制作安装</t>
  </si>
  <si>
    <t>2、规格、开启方式综合考虑(具体做法按图纸及规范、参考图集04J610-1-Y43)</t>
  </si>
  <si>
    <t>钢门（变压器室）（暂定价）</t>
  </si>
  <si>
    <t>1、钢门制作安装</t>
  </si>
  <si>
    <t>无障碍平开门（暂定价）</t>
  </si>
  <si>
    <t>1、平开门制作安装</t>
  </si>
  <si>
    <t>2、规格、开启方式综合考虑(具体做法按图纸及规范、参考图集03J926-37-2)</t>
  </si>
  <si>
    <t>木夹板平开门（暂定价）</t>
  </si>
  <si>
    <t>1、木夹板平开门制安</t>
  </si>
  <si>
    <t>2、闭门器制安</t>
  </si>
  <si>
    <t>3、执手锁、五金配件制安</t>
  </si>
  <si>
    <t>木夹板平开门，下带百页（暂定价）</t>
  </si>
  <si>
    <t>铝合金扣板门（暂定价）</t>
  </si>
  <si>
    <t>1、铝合金扣板门制作安装</t>
  </si>
  <si>
    <t>铝合金扣板门，下带百页（暂定价）</t>
  </si>
  <si>
    <t>木质防火门（乙级）（暂定价）</t>
  </si>
  <si>
    <t>1.乙级木质防火门（成品 包油漆）制安</t>
  </si>
  <si>
    <t>2.闭门器制安</t>
  </si>
  <si>
    <t>3.执手锁、五金配件制安</t>
  </si>
  <si>
    <t>卷帘门（暂定价）</t>
  </si>
  <si>
    <t>1.门制作、运输、安装</t>
  </si>
  <si>
    <t>2.启动装置、五金配件安装</t>
  </si>
  <si>
    <t>3.刷防护材料、刷油漆</t>
  </si>
  <si>
    <t>铝合金百叶窗（暂定价）</t>
  </si>
  <si>
    <t>1.铝合金百叶窗制作安装</t>
  </si>
  <si>
    <t>2.规格、开启方式综合考虑(具体做法按图纸及规范)</t>
  </si>
  <si>
    <t>3.刷防护材料、油漆</t>
  </si>
  <si>
    <t>B.5</t>
  </si>
  <si>
    <t>B.5油漆、涂料、裱糊工程</t>
  </si>
  <si>
    <t>外墙刷喷涂料(海鸥老人涂料S1060-Y70R)局部墙身</t>
  </si>
  <si>
    <t xml:space="preserve">  1. 综合考虑墙、梁、柱面及零星部位</t>
  </si>
  <si>
    <t xml:space="preserve">  2. 刮专用外墙腻子粉两道，打磨平整；</t>
  </si>
  <si>
    <t xml:space="preserve">  3. 滚涂油性封闭底漆一道；</t>
  </si>
  <si>
    <t xml:space="preserve">  4. 喷浮雕骨浆一道；</t>
  </si>
  <si>
    <t xml:space="preserve">  5. 滚涂面漆二道；</t>
  </si>
  <si>
    <t xml:space="preserve">  6. 喷或滚刷涂料两遍(墙面分格条8~12宽)</t>
  </si>
  <si>
    <t>外墙刷喷涂料(海鸥老人涂料S0500-N)广告位</t>
  </si>
  <si>
    <t>刷喷内墙涂料（内墙.室内天花）                                       1.综合考虑墙、梁、柱面及零星部位                                                                                           2.基层清理</t>
  </si>
  <si>
    <t>3.刮腻子</t>
  </si>
  <si>
    <t>4.喷(刷)白色内墙涂料两遍</t>
  </si>
  <si>
    <t xml:space="preserve"> </t>
  </si>
  <si>
    <t>装饰 第六章 其他工程</t>
  </si>
  <si>
    <t>卫生间排气扇</t>
  </si>
  <si>
    <t>个</t>
  </si>
  <si>
    <t>装饰工程施工</t>
    <phoneticPr fontId="1" type="noConversion"/>
  </si>
  <si>
    <t>钢材</t>
    <phoneticPr fontId="1" type="noConversion"/>
  </si>
  <si>
    <t>kg</t>
    <phoneticPr fontId="1" type="noConversion"/>
  </si>
  <si>
    <t>t</t>
    <phoneticPr fontId="1" type="noConversion"/>
  </si>
  <si>
    <t>铝合金</t>
    <phoneticPr fontId="1" type="noConversion"/>
  </si>
  <si>
    <t>玻璃</t>
    <phoneticPr fontId="1" type="noConversion"/>
  </si>
  <si>
    <t>t</t>
    <phoneticPr fontId="1" type="noConversion"/>
  </si>
  <si>
    <t>建筑总建材消耗量</t>
    <phoneticPr fontId="1" type="noConversion"/>
  </si>
  <si>
    <t>混凝土</t>
    <phoneticPr fontId="1" type="noConversion"/>
  </si>
  <si>
    <t>m3</t>
    <phoneticPr fontId="1" type="noConversion"/>
  </si>
  <si>
    <t>单位面积建材消耗</t>
    <phoneticPr fontId="1" type="noConversion"/>
  </si>
  <si>
    <t>钢筋</t>
    <phoneticPr fontId="1" type="noConversion"/>
  </si>
  <si>
    <t>kg/m2</t>
    <phoneticPr fontId="1" type="noConversion"/>
  </si>
  <si>
    <t>砂浆</t>
    <phoneticPr fontId="1" type="noConversion"/>
  </si>
  <si>
    <t>混凝土砌块</t>
    <phoneticPr fontId="1" type="noConversion"/>
  </si>
  <si>
    <t>m3/m2</t>
    <phoneticPr fontId="1" type="noConversion"/>
  </si>
  <si>
    <t>灰砖</t>
    <phoneticPr fontId="1" type="noConversion"/>
  </si>
  <si>
    <t>铝合金</t>
    <phoneticPr fontId="1" type="noConversion"/>
  </si>
  <si>
    <t>玻璃</t>
    <phoneticPr fontId="1" type="noConversion"/>
  </si>
  <si>
    <t>t</t>
    <phoneticPr fontId="1" type="noConversion"/>
  </si>
  <si>
    <t>涂料</t>
    <phoneticPr fontId="1" type="noConversion"/>
  </si>
  <si>
    <t>m3</t>
    <phoneticPr fontId="1" type="noConversion"/>
  </si>
  <si>
    <t>聚苯板</t>
    <phoneticPr fontId="1" type="noConversion"/>
  </si>
  <si>
    <t>t</t>
    <phoneticPr fontId="1" type="noConversion"/>
  </si>
  <si>
    <t>混凝土砌块</t>
    <phoneticPr fontId="1" type="noConversion"/>
  </si>
  <si>
    <t>灰砖</t>
    <phoneticPr fontId="1" type="noConversion"/>
  </si>
  <si>
    <t>涂料</t>
    <phoneticPr fontId="1" type="noConversion"/>
  </si>
  <si>
    <t>聚苯板</t>
    <phoneticPr fontId="1" type="noConversion"/>
  </si>
  <si>
    <t>钢材</t>
    <phoneticPr fontId="1" type="noConversion"/>
  </si>
  <si>
    <t>平阳万达</t>
    <phoneticPr fontId="1" type="noConversion"/>
  </si>
  <si>
    <t>佛山三水万达</t>
    <phoneticPr fontId="1" type="noConversion"/>
  </si>
  <si>
    <t>朝阳万达</t>
    <phoneticPr fontId="1" type="noConversion"/>
  </si>
  <si>
    <t>29商业建筑指标</t>
    <phoneticPr fontId="1" type="noConversion"/>
  </si>
  <si>
    <t>黄山某商业广场</t>
    <phoneticPr fontId="1" type="noConversion"/>
  </si>
  <si>
    <t>宜兴万达广场</t>
    <phoneticPr fontId="1" type="noConversion"/>
  </si>
  <si>
    <t>某商业中心一期工程</t>
    <phoneticPr fontId="1" type="noConversion"/>
  </si>
  <si>
    <t>建筑面积</t>
    <phoneticPr fontId="1" type="noConversion"/>
  </si>
  <si>
    <t>t</t>
    <phoneticPr fontId="1" type="noConversion"/>
  </si>
  <si>
    <t>混凝土砌块m3</t>
    <phoneticPr fontId="1" type="noConversion"/>
  </si>
  <si>
    <t>木材t</t>
    <phoneticPr fontId="1" type="noConversion"/>
  </si>
  <si>
    <t>水泥砂浆t</t>
    <phoneticPr fontId="1" type="noConversion"/>
  </si>
  <si>
    <t>钢筋t</t>
    <phoneticPr fontId="1" type="noConversion"/>
  </si>
  <si>
    <t>黏土砖（块）</t>
    <phoneticPr fontId="1" type="noConversion"/>
  </si>
  <si>
    <t>沙t</t>
    <phoneticPr fontId="1" type="noConversion"/>
  </si>
  <si>
    <t>混凝土m3</t>
    <phoneticPr fontId="1" type="noConversion"/>
  </si>
  <si>
    <t>石膏t</t>
    <phoneticPr fontId="1" type="noConversion"/>
  </si>
  <si>
    <t>生铁t</t>
    <phoneticPr fontId="1" type="noConversion"/>
  </si>
  <si>
    <t>玻璃m2</t>
    <phoneticPr fontId="1" type="noConversion"/>
  </si>
  <si>
    <t>不锈钢t</t>
    <phoneticPr fontId="1" type="noConversion"/>
  </si>
  <si>
    <t>水性涂料m2</t>
    <phoneticPr fontId="1" type="noConversion"/>
  </si>
  <si>
    <t>加权平均</t>
    <phoneticPr fontId="1" type="noConversion"/>
  </si>
  <si>
    <t>建筑材料总用量预估</t>
    <phoneticPr fontId="1" type="noConversion"/>
  </si>
  <si>
    <t>独立基础耗量</t>
    <phoneticPr fontId="1" type="noConversion"/>
  </si>
  <si>
    <t>大型钢材</t>
    <phoneticPr fontId="1" type="noConversion"/>
  </si>
  <si>
    <t>混凝土</t>
    <phoneticPr fontId="1" type="noConversion"/>
  </si>
  <si>
    <t>ratio</t>
    <phoneticPr fontId="1" type="noConversion"/>
  </si>
  <si>
    <t>砂浆</t>
    <phoneticPr fontId="1" type="noConversion"/>
  </si>
  <si>
    <t>根据GB51366-2019 《建筑碳排放计算标准》混凝土的默认运输距离取40km，其他建材的默认运输距离取500km。根据南京地区的实际地理位置，运输方式统一选取陆路运输，混凝土取载重18t重型柴油货车进行运输，其余建材选用电力机车进行运输。</t>
    <phoneticPr fontId="1" type="noConversion"/>
  </si>
  <si>
    <t>混凝土运输碳排放</t>
    <phoneticPr fontId="1" type="noConversion"/>
  </si>
  <si>
    <t>其他建筑材料运输碳排放</t>
    <phoneticPr fontId="1" type="noConversion"/>
  </si>
  <si>
    <t>碳排放</t>
    <phoneticPr fontId="1" type="noConversion"/>
  </si>
  <si>
    <t>水泥砂浆</t>
    <phoneticPr fontId="1" type="noConversion"/>
  </si>
  <si>
    <t>石灰</t>
    <phoneticPr fontId="1" type="noConversion"/>
  </si>
  <si>
    <t>砖与砌块</t>
    <phoneticPr fontId="1" type="noConversion"/>
  </si>
  <si>
    <t>其他</t>
    <phoneticPr fontId="1" type="noConversion"/>
  </si>
  <si>
    <t>建筑拆除废料运输</t>
    <phoneticPr fontId="1" type="noConversion"/>
  </si>
  <si>
    <t>建筑的拆除阶段碳排放可以划分为拆除施工阶段、废料运输阶段两部分。其中拆除施工阶段的碳排放主要是由承担拆除工作的机械设备运行时消耗燃料所导致的，由于建筑拆除的工程量远小于建筑建造的工程量，此处按照建造施工阶段工程能耗的10%进行计算[]。考虑到建筑建造过程、使用过程以及拆除过程中存在的材料损耗，拆除时的建材重量按照建造时的80%进行计算，项目地点至建筑垃圾处理区域的距离统一设置为40km，交通运输方式取载重18t的重型柴油货车。</t>
    <phoneticPr fontId="1" type="noConversion"/>
  </si>
  <si>
    <t>变化比例</t>
    <phoneticPr fontId="1" type="noConversion"/>
  </si>
  <si>
    <t>钢材</t>
    <phoneticPr fontId="1" type="noConversion"/>
  </si>
  <si>
    <t>混凝土</t>
    <phoneticPr fontId="1" type="noConversion"/>
  </si>
  <si>
    <t>砌块</t>
    <phoneticPr fontId="1" type="noConversion"/>
  </si>
  <si>
    <t>水泥砂浆</t>
    <phoneticPr fontId="1" type="noConversion"/>
  </si>
  <si>
    <t>黏土砖</t>
    <phoneticPr fontId="1" type="noConversion"/>
  </si>
  <si>
    <t>采用可回收钢</t>
    <phoneticPr fontId="1" type="noConversion"/>
  </si>
  <si>
    <t>装配式建筑</t>
    <phoneticPr fontId="1" type="noConversion"/>
  </si>
  <si>
    <t>钢</t>
    <phoneticPr fontId="1" type="noConversion"/>
  </si>
  <si>
    <t>混凝土</t>
    <phoneticPr fontId="1" type="noConversion"/>
  </si>
  <si>
    <t>水泥砂浆</t>
    <phoneticPr fontId="1" type="noConversion"/>
  </si>
  <si>
    <t>木材</t>
    <phoneticPr fontId="1" type="noConversion"/>
  </si>
</sst>
</file>

<file path=xl/styles.xml><?xml version="1.0" encoding="utf-8"?>
<styleSheet xmlns="http://schemas.openxmlformats.org/spreadsheetml/2006/main">
  <fonts count="6">
    <font>
      <sz val="11"/>
      <color theme="1"/>
      <name val="等线"/>
      <family val="2"/>
      <scheme val="minor"/>
    </font>
    <font>
      <sz val="9"/>
      <name val="等线"/>
      <family val="3"/>
      <charset val="134"/>
      <scheme val="minor"/>
    </font>
    <font>
      <vertAlign val="superscript"/>
      <sz val="11"/>
      <color theme="1"/>
      <name val="等线"/>
      <family val="3"/>
      <charset val="134"/>
      <scheme val="minor"/>
    </font>
    <font>
      <vertAlign val="superscript"/>
      <sz val="11"/>
      <color theme="1"/>
      <name val="等线"/>
      <family val="2"/>
      <scheme val="minor"/>
    </font>
    <font>
      <sz val="9"/>
      <color theme="1"/>
      <name val="宋体"/>
      <family val="3"/>
      <charset val="134"/>
    </font>
    <font>
      <sz val="10"/>
      <color theme="1"/>
      <name val="宋体"/>
      <family val="3"/>
      <charset val="134"/>
    </font>
  </fonts>
  <fills count="3">
    <fill>
      <patternFill patternType="none"/>
    </fill>
    <fill>
      <patternFill patternType="gray125"/>
    </fill>
    <fill>
      <patternFill patternType="solid">
        <fgColor rgb="FFFFFFFF"/>
        <bgColor indexed="64"/>
      </patternFill>
    </fill>
  </fills>
  <borders count="33">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diagonal/>
    </border>
    <border>
      <left style="medium">
        <color rgb="FF000000"/>
      </left>
      <right style="medium">
        <color rgb="FF000000"/>
      </right>
      <top/>
      <bottom/>
      <diagonal/>
    </border>
    <border>
      <left style="medium">
        <color indexed="64"/>
      </left>
      <right style="medium">
        <color rgb="FF000000"/>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rgb="FF000000"/>
      </right>
      <top/>
      <bottom style="medium">
        <color indexed="64"/>
      </bottom>
      <diagonal/>
    </border>
    <border>
      <left/>
      <right style="medium">
        <color rgb="FF000000"/>
      </right>
      <top style="medium">
        <color indexed="64"/>
      </top>
      <bottom style="medium">
        <color indexed="64"/>
      </bottom>
      <diagonal/>
    </border>
    <border>
      <left style="medium">
        <color rgb="FF000000"/>
      </left>
      <right/>
      <top/>
      <bottom style="medium">
        <color rgb="FF000000"/>
      </bottom>
      <diagonal/>
    </border>
    <border>
      <left style="medium">
        <color indexed="64"/>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style="medium">
        <color rgb="FF000000"/>
      </left>
      <right style="medium">
        <color indexed="64"/>
      </right>
      <top/>
      <bottom style="medium">
        <color indexed="64"/>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indexed="64"/>
      </left>
      <right style="medium">
        <color rgb="FF000000"/>
      </right>
      <top style="medium">
        <color rgb="FF000000"/>
      </top>
      <bottom/>
      <diagonal/>
    </border>
    <border>
      <left style="medium">
        <color rgb="FF000000"/>
      </left>
      <right style="medium">
        <color rgb="FF000000"/>
      </right>
      <top style="medium">
        <color indexed="64"/>
      </top>
      <bottom/>
      <diagonal/>
    </border>
    <border>
      <left style="medium">
        <color rgb="FF000000"/>
      </left>
      <right style="medium">
        <color rgb="FF000000"/>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style="medium">
        <color indexed="64"/>
      </right>
      <top style="medium">
        <color rgb="FF000000"/>
      </top>
      <bottom/>
      <diagonal/>
    </border>
    <border>
      <left style="medium">
        <color indexed="64"/>
      </left>
      <right style="medium">
        <color indexed="64"/>
      </right>
      <top style="medium">
        <color rgb="FF000000"/>
      </top>
      <bottom/>
      <diagonal/>
    </border>
  </borders>
  <cellStyleXfs count="1">
    <xf numFmtId="0" fontId="0" fillId="0" borderId="0"/>
  </cellStyleXfs>
  <cellXfs count="84">
    <xf numFmtId="0" fontId="0" fillId="0" borderId="0" xfId="0"/>
    <xf numFmtId="0" fontId="4" fillId="2" borderId="5" xfId="0" applyFont="1" applyFill="1" applyBorder="1" applyAlignment="1">
      <alignment horizontal="center" wrapText="1"/>
    </xf>
    <xf numFmtId="0" fontId="4" fillId="2" borderId="6" xfId="0" applyFont="1" applyFill="1" applyBorder="1" applyAlignment="1">
      <alignment horizontal="center" wrapText="1"/>
    </xf>
    <xf numFmtId="0" fontId="4" fillId="2" borderId="2" xfId="0" applyFont="1" applyFill="1" applyBorder="1" applyAlignment="1">
      <alignment horizontal="center" wrapText="1"/>
    </xf>
    <xf numFmtId="0" fontId="4" fillId="2" borderId="5" xfId="0" applyFont="1" applyFill="1" applyBorder="1" applyAlignment="1">
      <alignment horizontal="left" wrapText="1"/>
    </xf>
    <xf numFmtId="0" fontId="4" fillId="2" borderId="5" xfId="0" applyFont="1" applyFill="1" applyBorder="1" applyAlignment="1">
      <alignment horizontal="right" wrapText="1"/>
    </xf>
    <xf numFmtId="0" fontId="4" fillId="2" borderId="7" xfId="0" applyFont="1" applyFill="1" applyBorder="1" applyAlignment="1">
      <alignment horizontal="left" wrapText="1"/>
    </xf>
    <xf numFmtId="0" fontId="4" fillId="2" borderId="8" xfId="0" applyFont="1" applyFill="1" applyBorder="1" applyAlignment="1">
      <alignment horizontal="left" wrapText="1"/>
    </xf>
    <xf numFmtId="0" fontId="4" fillId="2" borderId="7" xfId="0" applyFont="1" applyFill="1" applyBorder="1" applyAlignment="1">
      <alignment horizontal="center" wrapText="1"/>
    </xf>
    <xf numFmtId="0" fontId="4" fillId="2" borderId="0" xfId="0" applyFont="1" applyFill="1" applyAlignment="1">
      <alignment horizontal="right" wrapText="1"/>
    </xf>
    <xf numFmtId="0" fontId="5" fillId="2" borderId="9" xfId="0" applyFont="1" applyFill="1" applyBorder="1" applyAlignment="1">
      <alignment horizontal="left"/>
    </xf>
    <xf numFmtId="0" fontId="4" fillId="2" borderId="4" xfId="0" applyFont="1" applyFill="1" applyBorder="1" applyAlignment="1">
      <alignment horizontal="left" wrapText="1"/>
    </xf>
    <xf numFmtId="0" fontId="4" fillId="2" borderId="13" xfId="0" applyFont="1" applyFill="1" applyBorder="1" applyAlignment="1">
      <alignment horizontal="center" wrapText="1"/>
    </xf>
    <xf numFmtId="0" fontId="4" fillId="2" borderId="13" xfId="0" applyFont="1" applyFill="1" applyBorder="1" applyAlignment="1">
      <alignment horizontal="left" wrapText="1"/>
    </xf>
    <xf numFmtId="0" fontId="4" fillId="2" borderId="13" xfId="0" applyFont="1" applyFill="1" applyBorder="1" applyAlignment="1">
      <alignment horizontal="right" wrapText="1"/>
    </xf>
    <xf numFmtId="0" fontId="5" fillId="2" borderId="14" xfId="0" applyFont="1" applyFill="1" applyBorder="1" applyAlignment="1">
      <alignment horizontal="left"/>
    </xf>
    <xf numFmtId="0" fontId="4" fillId="2" borderId="10" xfId="0" applyFont="1" applyFill="1" applyBorder="1" applyAlignment="1">
      <alignment horizontal="left" wrapText="1"/>
    </xf>
    <xf numFmtId="0" fontId="4" fillId="2" borderId="10" xfId="0" applyFont="1" applyFill="1" applyBorder="1" applyAlignment="1">
      <alignment horizontal="center" wrapText="1"/>
    </xf>
    <xf numFmtId="0" fontId="5" fillId="2" borderId="15" xfId="0" applyFont="1" applyFill="1" applyBorder="1" applyAlignment="1">
      <alignment horizontal="left"/>
    </xf>
    <xf numFmtId="0" fontId="4" fillId="2" borderId="12" xfId="0" applyFont="1" applyFill="1" applyBorder="1" applyAlignment="1">
      <alignment horizontal="left" wrapText="1"/>
    </xf>
    <xf numFmtId="0" fontId="4" fillId="2" borderId="6" xfId="0" applyFont="1" applyFill="1" applyBorder="1" applyAlignment="1">
      <alignment horizontal="right" wrapText="1"/>
    </xf>
    <xf numFmtId="0" fontId="5" fillId="2" borderId="17" xfId="0" applyFont="1" applyFill="1" applyBorder="1" applyAlignment="1">
      <alignment horizontal="center" wrapText="1"/>
    </xf>
    <xf numFmtId="0" fontId="4" fillId="2" borderId="11" xfId="0" applyFont="1" applyFill="1" applyBorder="1" applyAlignment="1">
      <alignment horizontal="left" wrapText="1"/>
    </xf>
    <xf numFmtId="0" fontId="0" fillId="2" borderId="12" xfId="0" applyFill="1" applyBorder="1" applyAlignment="1">
      <alignment horizontal="left" wrapText="1"/>
    </xf>
    <xf numFmtId="0" fontId="4" fillId="2" borderId="14" xfId="0" applyFont="1" applyFill="1" applyBorder="1" applyAlignment="1">
      <alignment horizontal="left" wrapText="1"/>
    </xf>
    <xf numFmtId="0" fontId="4" fillId="2" borderId="13" xfId="0" applyFont="1" applyFill="1" applyBorder="1" applyAlignment="1">
      <alignment horizontal="center"/>
    </xf>
    <xf numFmtId="0" fontId="5" fillId="2" borderId="14" xfId="0" applyFont="1" applyFill="1" applyBorder="1" applyAlignment="1">
      <alignment horizontal="center" wrapText="1"/>
    </xf>
    <xf numFmtId="0" fontId="0" fillId="0" borderId="0" xfId="0" applyAlignment="1">
      <alignment vertical="center"/>
    </xf>
    <xf numFmtId="0" fontId="4" fillId="2" borderId="16" xfId="0" applyFont="1" applyFill="1" applyBorder="1" applyAlignment="1">
      <alignment horizontal="center" wrapText="1"/>
    </xf>
    <xf numFmtId="0" fontId="4" fillId="2" borderId="6" xfId="0" applyFont="1" applyFill="1" applyBorder="1" applyAlignment="1">
      <alignment horizontal="center" wrapText="1"/>
    </xf>
    <xf numFmtId="0" fontId="4" fillId="2" borderId="5" xfId="0" applyFont="1" applyFill="1" applyBorder="1" applyAlignment="1">
      <alignment horizontal="center" wrapText="1"/>
    </xf>
    <xf numFmtId="0" fontId="4" fillId="2" borderId="25" xfId="0" applyFont="1" applyFill="1" applyBorder="1" applyAlignment="1">
      <alignment horizontal="left" wrapText="1"/>
    </xf>
    <xf numFmtId="0" fontId="4" fillId="2" borderId="23" xfId="0" applyFont="1" applyFill="1" applyBorder="1" applyAlignment="1">
      <alignment horizontal="left" wrapText="1"/>
    </xf>
    <xf numFmtId="0" fontId="4" fillId="2" borderId="17" xfId="0" applyFont="1" applyFill="1" applyBorder="1" applyAlignment="1">
      <alignment horizontal="left" wrapText="1"/>
    </xf>
    <xf numFmtId="0" fontId="4" fillId="2" borderId="1" xfId="0" applyFont="1" applyFill="1" applyBorder="1" applyAlignment="1">
      <alignment horizontal="center" wrapText="1"/>
    </xf>
    <xf numFmtId="0" fontId="4" fillId="2" borderId="8" xfId="0" applyFont="1" applyFill="1" applyBorder="1" applyAlignment="1">
      <alignment horizontal="center" wrapText="1"/>
    </xf>
    <xf numFmtId="0" fontId="4" fillId="2" borderId="2" xfId="0" applyFont="1" applyFill="1" applyBorder="1" applyAlignment="1">
      <alignment horizontal="center" wrapText="1"/>
    </xf>
    <xf numFmtId="0" fontId="4" fillId="2" borderId="26" xfId="0" applyFont="1" applyFill="1" applyBorder="1" applyAlignment="1">
      <alignment horizontal="center" wrapText="1"/>
    </xf>
    <xf numFmtId="0" fontId="4" fillId="2" borderId="19" xfId="0" applyFont="1" applyFill="1" applyBorder="1" applyAlignment="1">
      <alignment horizontal="right" wrapText="1"/>
    </xf>
    <xf numFmtId="0" fontId="4" fillId="2" borderId="20" xfId="0" applyFont="1" applyFill="1" applyBorder="1" applyAlignment="1">
      <alignment horizontal="right" wrapText="1"/>
    </xf>
    <xf numFmtId="0" fontId="4" fillId="2" borderId="21" xfId="0" applyFont="1" applyFill="1" applyBorder="1" applyAlignment="1">
      <alignment horizontal="right" wrapText="1"/>
    </xf>
    <xf numFmtId="0" fontId="4" fillId="2" borderId="19" xfId="0" applyFont="1" applyFill="1" applyBorder="1" applyAlignment="1">
      <alignment horizontal="center" wrapText="1"/>
    </xf>
    <xf numFmtId="0" fontId="4" fillId="2" borderId="20" xfId="0" applyFont="1" applyFill="1" applyBorder="1" applyAlignment="1">
      <alignment horizontal="center" wrapText="1"/>
    </xf>
    <xf numFmtId="0" fontId="4" fillId="2" borderId="21" xfId="0" applyFont="1" applyFill="1" applyBorder="1" applyAlignment="1">
      <alignment horizontal="center" wrapText="1"/>
    </xf>
    <xf numFmtId="0" fontId="4" fillId="2" borderId="28" xfId="0" applyFont="1" applyFill="1" applyBorder="1" applyAlignment="1">
      <alignment horizontal="center" wrapText="1"/>
    </xf>
    <xf numFmtId="0" fontId="4" fillId="2" borderId="29" xfId="0" applyFont="1" applyFill="1" applyBorder="1" applyAlignment="1">
      <alignment horizontal="center" wrapText="1"/>
    </xf>
    <xf numFmtId="0" fontId="4" fillId="2" borderId="30" xfId="0" applyFont="1" applyFill="1" applyBorder="1" applyAlignment="1">
      <alignment horizontal="center" wrapText="1"/>
    </xf>
    <xf numFmtId="0" fontId="4" fillId="2" borderId="28" xfId="0" applyFont="1" applyFill="1" applyBorder="1" applyAlignment="1">
      <alignment horizontal="right" wrapText="1"/>
    </xf>
    <xf numFmtId="0" fontId="4" fillId="2" borderId="29" xfId="0" applyFont="1" applyFill="1" applyBorder="1" applyAlignment="1">
      <alignment horizontal="right" wrapText="1"/>
    </xf>
    <xf numFmtId="0" fontId="4" fillId="2" borderId="30" xfId="0" applyFont="1" applyFill="1" applyBorder="1" applyAlignment="1">
      <alignment horizontal="right" wrapText="1"/>
    </xf>
    <xf numFmtId="0" fontId="4" fillId="2" borderId="22" xfId="0" applyFont="1" applyFill="1" applyBorder="1" applyAlignment="1">
      <alignment horizontal="left" wrapText="1"/>
    </xf>
    <xf numFmtId="0" fontId="4" fillId="2" borderId="24" xfId="0" applyFont="1" applyFill="1" applyBorder="1" applyAlignment="1">
      <alignment horizontal="left" wrapText="1"/>
    </xf>
    <xf numFmtId="0" fontId="4" fillId="2" borderId="22" xfId="0" applyFont="1" applyFill="1" applyBorder="1" applyAlignment="1">
      <alignment horizontal="center" wrapText="1"/>
    </xf>
    <xf numFmtId="0" fontId="4" fillId="2" borderId="23" xfId="0" applyFont="1" applyFill="1" applyBorder="1" applyAlignment="1">
      <alignment horizontal="center" wrapText="1"/>
    </xf>
    <xf numFmtId="0" fontId="4" fillId="2" borderId="17" xfId="0" applyFont="1" applyFill="1" applyBorder="1" applyAlignment="1">
      <alignment horizontal="center" wrapText="1"/>
    </xf>
    <xf numFmtId="0" fontId="5" fillId="2" borderId="22" xfId="0" applyFont="1" applyFill="1" applyBorder="1" applyAlignment="1">
      <alignment horizontal="left"/>
    </xf>
    <xf numFmtId="0" fontId="5" fillId="2" borderId="23" xfId="0" applyFont="1" applyFill="1" applyBorder="1" applyAlignment="1">
      <alignment horizontal="left"/>
    </xf>
    <xf numFmtId="0" fontId="5" fillId="2" borderId="24" xfId="0" applyFont="1" applyFill="1" applyBorder="1" applyAlignment="1">
      <alignment horizontal="left"/>
    </xf>
    <xf numFmtId="0" fontId="4" fillId="2" borderId="32" xfId="0" applyFont="1" applyFill="1" applyBorder="1" applyAlignment="1">
      <alignment horizontal="center" wrapText="1"/>
    </xf>
    <xf numFmtId="0" fontId="4" fillId="2" borderId="31" xfId="0" applyFont="1" applyFill="1" applyBorder="1" applyAlignment="1">
      <alignment horizontal="center" wrapText="1"/>
    </xf>
    <xf numFmtId="0" fontId="4" fillId="2" borderId="25" xfId="0" applyFont="1" applyFill="1" applyBorder="1" applyAlignment="1">
      <alignment horizontal="center" wrapText="1"/>
    </xf>
    <xf numFmtId="0" fontId="5" fillId="2" borderId="28" xfId="0" applyFont="1" applyFill="1" applyBorder="1" applyAlignment="1">
      <alignment horizontal="center" wrapText="1"/>
    </xf>
    <xf numFmtId="0" fontId="5" fillId="2" borderId="29" xfId="0" applyFont="1" applyFill="1" applyBorder="1" applyAlignment="1">
      <alignment horizontal="center" wrapText="1"/>
    </xf>
    <xf numFmtId="0" fontId="5" fillId="2" borderId="30" xfId="0" applyFont="1" applyFill="1" applyBorder="1" applyAlignment="1">
      <alignment horizontal="center" wrapText="1"/>
    </xf>
    <xf numFmtId="0" fontId="5" fillId="2" borderId="22" xfId="0" applyFont="1" applyFill="1" applyBorder="1" applyAlignment="1">
      <alignment horizontal="left" wrapText="1"/>
    </xf>
    <xf numFmtId="0" fontId="5" fillId="2" borderId="23" xfId="0" applyFont="1" applyFill="1" applyBorder="1" applyAlignment="1">
      <alignment horizontal="left" wrapText="1"/>
    </xf>
    <xf numFmtId="0" fontId="5" fillId="2" borderId="24" xfId="0" applyFont="1" applyFill="1" applyBorder="1" applyAlignment="1">
      <alignment horizontal="left" wrapText="1"/>
    </xf>
    <xf numFmtId="0" fontId="5" fillId="2" borderId="28" xfId="0" applyFont="1" applyFill="1" applyBorder="1" applyAlignment="1">
      <alignment horizontal="left"/>
    </xf>
    <xf numFmtId="0" fontId="5" fillId="2" borderId="29" xfId="0" applyFont="1" applyFill="1" applyBorder="1" applyAlignment="1">
      <alignment horizontal="left"/>
    </xf>
    <xf numFmtId="0" fontId="5" fillId="2" borderId="30" xfId="0" applyFont="1" applyFill="1" applyBorder="1" applyAlignment="1">
      <alignment horizontal="left"/>
    </xf>
    <xf numFmtId="0" fontId="4" fillId="2" borderId="18" xfId="0" applyFont="1" applyFill="1" applyBorder="1" applyAlignment="1">
      <alignment horizontal="center" wrapText="1"/>
    </xf>
    <xf numFmtId="0" fontId="4" fillId="2" borderId="3" xfId="0" applyFont="1" applyFill="1" applyBorder="1" applyAlignment="1">
      <alignment horizontal="center" wrapText="1"/>
    </xf>
    <xf numFmtId="0" fontId="4" fillId="2" borderId="4" xfId="0" applyFont="1" applyFill="1" applyBorder="1" applyAlignment="1">
      <alignment horizontal="center" wrapText="1"/>
    </xf>
    <xf numFmtId="0" fontId="4" fillId="2" borderId="26" xfId="0" applyFont="1" applyFill="1" applyBorder="1" applyAlignment="1">
      <alignment horizontal="left" wrapText="1"/>
    </xf>
    <xf numFmtId="0" fontId="4" fillId="2" borderId="8" xfId="0" applyFont="1" applyFill="1" applyBorder="1" applyAlignment="1">
      <alignment horizontal="left" wrapText="1"/>
    </xf>
    <xf numFmtId="0" fontId="4" fillId="2" borderId="2" xfId="0" applyFont="1" applyFill="1" applyBorder="1" applyAlignment="1">
      <alignment horizontal="left" wrapText="1"/>
    </xf>
    <xf numFmtId="0" fontId="4" fillId="2" borderId="27" xfId="0" applyFont="1" applyFill="1" applyBorder="1" applyAlignment="1">
      <alignment horizontal="center" wrapText="1"/>
    </xf>
    <xf numFmtId="0" fontId="4" fillId="2" borderId="1" xfId="0" applyFont="1" applyFill="1" applyBorder="1" applyAlignment="1">
      <alignment horizontal="right" wrapText="1"/>
    </xf>
    <xf numFmtId="0" fontId="4" fillId="2" borderId="8" xfId="0" applyFont="1" applyFill="1" applyBorder="1" applyAlignment="1">
      <alignment horizontal="right" wrapText="1"/>
    </xf>
    <xf numFmtId="0" fontId="4" fillId="2" borderId="2" xfId="0" applyFont="1" applyFill="1" applyBorder="1" applyAlignment="1">
      <alignment horizontal="right" wrapText="1"/>
    </xf>
    <xf numFmtId="0" fontId="4" fillId="2" borderId="1" xfId="0" applyFont="1" applyFill="1" applyBorder="1" applyAlignment="1">
      <alignment horizontal="left" wrapText="1"/>
    </xf>
    <xf numFmtId="0" fontId="4" fillId="2" borderId="27" xfId="0" applyFont="1" applyFill="1" applyBorder="1" applyAlignment="1">
      <alignment horizontal="left" wrapText="1"/>
    </xf>
    <xf numFmtId="0" fontId="4" fillId="2" borderId="26" xfId="0" applyFont="1" applyFill="1" applyBorder="1" applyAlignment="1">
      <alignment horizontal="right" wrapText="1"/>
    </xf>
    <xf numFmtId="0" fontId="5" fillId="2" borderId="25" xfId="0" applyFont="1" applyFill="1" applyBorder="1"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zh-CN"/>
  <c:style val="10"/>
  <c:chart>
    <c:title>
      <c:tx>
        <c:rich>
          <a:bodyPr/>
          <a:lstStyle/>
          <a:p>
            <a:pPr>
              <a:defRPr/>
            </a:pPr>
            <a:r>
              <a:rPr lang="zh-CN"/>
              <a:t>建材生产阶段碳排放占比</a:t>
            </a:r>
          </a:p>
        </c:rich>
      </c:tx>
      <c:layout/>
    </c:title>
    <c:plotArea>
      <c:layout/>
      <c:pieChart>
        <c:varyColors val="1"/>
        <c:ser>
          <c:idx val="0"/>
          <c:order val="0"/>
          <c:dLbls>
            <c:showPercent val="1"/>
            <c:showLeaderLines val="1"/>
          </c:dLbls>
          <c:cat>
            <c:strRef>
              <c:f>Sheet6!$A$17:$A$21</c:f>
              <c:strCache>
                <c:ptCount val="5"/>
                <c:pt idx="0">
                  <c:v>钢材</c:v>
                </c:pt>
                <c:pt idx="1">
                  <c:v>混凝土</c:v>
                </c:pt>
                <c:pt idx="2">
                  <c:v>水泥砂浆</c:v>
                </c:pt>
                <c:pt idx="3">
                  <c:v>砖与砌块</c:v>
                </c:pt>
                <c:pt idx="4">
                  <c:v>其他</c:v>
                </c:pt>
              </c:strCache>
            </c:strRef>
          </c:cat>
          <c:val>
            <c:numRef>
              <c:f>Sheet6!$B$17:$B$21</c:f>
              <c:numCache>
                <c:formatCode>General</c:formatCode>
                <c:ptCount val="5"/>
                <c:pt idx="0">
                  <c:v>15028.282501284602</c:v>
                </c:pt>
                <c:pt idx="1">
                  <c:v>12200.30680665551</c:v>
                </c:pt>
                <c:pt idx="2">
                  <c:v>1661.6971429312168</c:v>
                </c:pt>
                <c:pt idx="3">
                  <c:v>1912.2926215273922</c:v>
                </c:pt>
                <c:pt idx="4">
                  <c:v>153.25281993170586</c:v>
                </c:pt>
              </c:numCache>
            </c:numRef>
          </c:val>
        </c:ser>
        <c:dLbls>
          <c:showPercent val="1"/>
        </c:dLbls>
        <c:firstSliceAng val="0"/>
      </c:pieChart>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523875</xdr:colOff>
      <xdr:row>16</xdr:row>
      <xdr:rowOff>28574</xdr:rowOff>
    </xdr:from>
    <xdr:to>
      <xdr:col>7</xdr:col>
      <xdr:colOff>723900</xdr:colOff>
      <xdr:row>37</xdr:row>
      <xdr:rowOff>85724</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2269;&#38469;&#36335;&#24066;&#25919;&#32508;&#21512;&#20307;&#21442;&#2596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1830;&#19994;&#20013;&#24515;&#19968;&#26399;&#22320;&#19979;&#23460;&#22303;&#243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0899;&#25490;&#25918;&#22240;&#2337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总体用地情况"/>
      <sheetName val="地下二层"/>
      <sheetName val="地下一层"/>
      <sheetName val="地上一层"/>
      <sheetName val="地上二层"/>
      <sheetName val="地上三层"/>
      <sheetName val="地上四层"/>
      <sheetName val="地上五层"/>
    </sheetNames>
    <sheetDataSet>
      <sheetData sheetId="0">
        <row r="3">
          <cell r="C3">
            <v>97063</v>
          </cell>
        </row>
        <row r="4">
          <cell r="C4">
            <v>65189</v>
          </cell>
        </row>
        <row r="5">
          <cell r="C5">
            <v>31874</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单位工程招标控制价汇总表(格式二)"/>
      <sheetName val="分部分项工程计价表"/>
      <sheetName val="措施项目计价表(一)"/>
      <sheetName val="措施项目计价表(二)"/>
      <sheetName val="其他项目计价表"/>
      <sheetName val="规费和税金项目计算表"/>
      <sheetName val="主要材料设备价格表"/>
    </sheetNames>
    <sheetDataSet>
      <sheetData sheetId="0"/>
      <sheetData sheetId="1">
        <row r="27">
          <cell r="L27">
            <v>0.41726863291767302</v>
          </cell>
          <cell r="M27">
            <v>0.43809345200780025</v>
          </cell>
        </row>
      </sheetData>
      <sheetData sheetId="2"/>
      <sheetData sheetId="3"/>
      <sheetData sheetId="4"/>
      <sheetData sheetId="5"/>
      <sheetData sheetId="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主要能源碳排放因子"/>
      <sheetName val="电力碳排放因子"/>
      <sheetName val="建筑材料碳排放因子"/>
      <sheetName val="材料运输碳排放因子"/>
      <sheetName val="施工机械台班能源用量"/>
    </sheetNames>
    <sheetDataSet>
      <sheetData sheetId="0" refreshError="1"/>
      <sheetData sheetId="1" refreshError="1"/>
      <sheetData sheetId="2">
        <row r="3">
          <cell r="C3">
            <v>2.34</v>
          </cell>
        </row>
        <row r="4">
          <cell r="C4">
            <v>2.3650000000000002</v>
          </cell>
        </row>
        <row r="9">
          <cell r="D9">
            <v>0.20100000000000001</v>
          </cell>
        </row>
        <row r="10">
          <cell r="D10">
            <v>0.251</v>
          </cell>
        </row>
        <row r="11">
          <cell r="D11">
            <v>0.29499999999999998</v>
          </cell>
        </row>
        <row r="12">
          <cell r="D12">
            <v>0.39100000000000001</v>
          </cell>
        </row>
        <row r="13">
          <cell r="D13">
            <v>0.38500000000000001</v>
          </cell>
        </row>
        <row r="14">
          <cell r="D14">
            <v>0.58899999999999997</v>
          </cell>
        </row>
        <row r="15">
          <cell r="D15">
            <v>0.73</v>
          </cell>
        </row>
        <row r="16">
          <cell r="D16">
            <v>0.53200000000000003</v>
          </cell>
        </row>
        <row r="17">
          <cell r="D17">
            <v>0.39400000000000002</v>
          </cell>
        </row>
        <row r="18">
          <cell r="D18">
            <v>6.5000000000000002E-2</v>
          </cell>
        </row>
        <row r="19">
          <cell r="D19">
            <v>0.26200000000000001</v>
          </cell>
        </row>
        <row r="20">
          <cell r="D20">
            <v>0.22800000000000001</v>
          </cell>
        </row>
        <row r="21">
          <cell r="D21">
            <v>0.25800000000000001</v>
          </cell>
        </row>
        <row r="22">
          <cell r="D22">
            <v>0.35499999999999998</v>
          </cell>
        </row>
        <row r="23">
          <cell r="D23">
            <v>0.25</v>
          </cell>
        </row>
        <row r="25">
          <cell r="D25">
            <v>0.14599999999999999</v>
          </cell>
        </row>
        <row r="28">
          <cell r="D28">
            <v>0.01</v>
          </cell>
        </row>
        <row r="29">
          <cell r="D29">
            <v>1.1299999999999999</v>
          </cell>
        </row>
        <row r="30">
          <cell r="D30">
            <v>1.19</v>
          </cell>
        </row>
        <row r="31">
          <cell r="D31">
            <v>3.2000000000000001E-2</v>
          </cell>
        </row>
        <row r="35">
          <cell r="D35">
            <v>3.6</v>
          </cell>
        </row>
      </sheetData>
      <sheetData sheetId="3" refreshError="1"/>
      <sheetData sheetId="4">
        <row r="3">
          <cell r="H3">
            <v>0.17143153761160002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37"/>
  <sheetViews>
    <sheetView workbookViewId="0">
      <selection activeCell="D14" sqref="D14"/>
    </sheetView>
  </sheetViews>
  <sheetFormatPr defaultRowHeight="14.25"/>
  <cols>
    <col min="1" max="1" width="18" customWidth="1"/>
  </cols>
  <sheetData>
    <row r="1" spans="1:6">
      <c r="A1" t="s">
        <v>0</v>
      </c>
    </row>
    <row r="2" spans="1:6">
      <c r="A2" t="s">
        <v>1</v>
      </c>
      <c r="B2">
        <v>96055</v>
      </c>
      <c r="C2" t="s">
        <v>4</v>
      </c>
    </row>
    <row r="3" spans="1:6">
      <c r="A3" t="s">
        <v>2</v>
      </c>
      <c r="B3">
        <v>63080</v>
      </c>
      <c r="C3" t="s">
        <v>4</v>
      </c>
    </row>
    <row r="4" spans="1:6">
      <c r="A4" t="s">
        <v>3</v>
      </c>
      <c r="B4">
        <f>B2+B3</f>
        <v>159135</v>
      </c>
    </row>
    <row r="6" spans="1:6">
      <c r="A6" t="s">
        <v>5</v>
      </c>
      <c r="B6" t="s">
        <v>6</v>
      </c>
    </row>
    <row r="7" spans="1:6">
      <c r="A7" t="s">
        <v>7</v>
      </c>
      <c r="B7">
        <v>6</v>
      </c>
    </row>
    <row r="9" spans="1:6">
      <c r="A9" t="s">
        <v>8</v>
      </c>
      <c r="B9" t="s">
        <v>9</v>
      </c>
      <c r="C9" t="s">
        <v>10</v>
      </c>
      <c r="D9" t="s">
        <v>11</v>
      </c>
    </row>
    <row r="10" spans="1:6">
      <c r="B10" t="s">
        <v>12</v>
      </c>
      <c r="C10" t="s">
        <v>13</v>
      </c>
      <c r="D10">
        <v>45.88</v>
      </c>
      <c r="E10">
        <f>D10/B4</f>
        <v>2.8830866874037767E-4</v>
      </c>
    </row>
    <row r="11" spans="1:6">
      <c r="B11" t="s">
        <v>14</v>
      </c>
      <c r="C11" t="s">
        <v>13</v>
      </c>
      <c r="D11">
        <v>7654.92</v>
      </c>
    </row>
    <row r="12" spans="1:6">
      <c r="B12" t="s">
        <v>15</v>
      </c>
      <c r="C12" t="s">
        <v>13</v>
      </c>
      <c r="D12">
        <v>14672.89</v>
      </c>
      <c r="E12">
        <f>SUM(D11:D12)</f>
        <v>22327.809999999998</v>
      </c>
      <c r="F12">
        <f>E12/B4</f>
        <v>0.14030734910610487</v>
      </c>
    </row>
    <row r="13" spans="1:6">
      <c r="B13" t="s">
        <v>16</v>
      </c>
      <c r="C13" t="s">
        <v>13</v>
      </c>
      <c r="D13">
        <v>5500.54</v>
      </c>
      <c r="E13">
        <f>D13/B4</f>
        <v>3.4565243346843876E-2</v>
      </c>
    </row>
    <row r="14" spans="1:6" ht="16.5">
      <c r="B14" t="s">
        <v>17</v>
      </c>
      <c r="C14" t="s">
        <v>23</v>
      </c>
      <c r="D14">
        <f>235846.88/2.3</f>
        <v>102542.12173913044</v>
      </c>
      <c r="E14">
        <f>D14/B4</f>
        <v>0.64437189643466519</v>
      </c>
    </row>
    <row r="15" spans="1:6" ht="16.5">
      <c r="B15" t="s">
        <v>18</v>
      </c>
      <c r="C15" t="s">
        <v>24</v>
      </c>
      <c r="D15" t="s">
        <v>43</v>
      </c>
    </row>
    <row r="16" spans="1:6" ht="16.5">
      <c r="B16" t="s">
        <v>19</v>
      </c>
      <c r="C16" t="s">
        <v>24</v>
      </c>
      <c r="D16" t="s">
        <v>43</v>
      </c>
    </row>
    <row r="17" spans="2:6" ht="16.5">
      <c r="B17" t="s">
        <v>20</v>
      </c>
      <c r="C17" t="s">
        <v>24</v>
      </c>
      <c r="D17" t="s">
        <v>43</v>
      </c>
    </row>
    <row r="18" spans="2:6" ht="16.5">
      <c r="B18" t="s">
        <v>21</v>
      </c>
      <c r="C18" t="s">
        <v>24</v>
      </c>
      <c r="D18" t="s">
        <v>43</v>
      </c>
    </row>
    <row r="19" spans="2:6" ht="16.5">
      <c r="B19" t="s">
        <v>22</v>
      </c>
      <c r="C19" t="s">
        <v>24</v>
      </c>
      <c r="D19" t="s">
        <v>43</v>
      </c>
    </row>
    <row r="20" spans="2:6">
      <c r="B20" t="s">
        <v>25</v>
      </c>
      <c r="C20" t="s">
        <v>33</v>
      </c>
      <c r="D20">
        <v>15360</v>
      </c>
      <c r="E20">
        <f>D20/B4*1.7</f>
        <v>0.16408709586200396</v>
      </c>
      <c r="F20" t="s">
        <v>511</v>
      </c>
    </row>
    <row r="21" spans="2:6">
      <c r="B21" t="s">
        <v>26</v>
      </c>
      <c r="C21" t="s">
        <v>33</v>
      </c>
      <c r="D21" t="s">
        <v>43</v>
      </c>
    </row>
    <row r="22" spans="2:6">
      <c r="B22" t="s">
        <v>27</v>
      </c>
      <c r="C22" t="s">
        <v>33</v>
      </c>
      <c r="D22" t="s">
        <v>43</v>
      </c>
    </row>
    <row r="23" spans="2:6">
      <c r="B23" t="s">
        <v>28</v>
      </c>
      <c r="C23" t="s">
        <v>33</v>
      </c>
      <c r="D23" t="s">
        <v>43</v>
      </c>
    </row>
    <row r="24" spans="2:6">
      <c r="B24" t="s">
        <v>29</v>
      </c>
      <c r="C24" t="s">
        <v>33</v>
      </c>
      <c r="D24" t="s">
        <v>43</v>
      </c>
    </row>
    <row r="25" spans="2:6">
      <c r="B25" t="s">
        <v>30</v>
      </c>
      <c r="C25" t="s">
        <v>33</v>
      </c>
      <c r="D25" t="s">
        <v>43</v>
      </c>
    </row>
    <row r="26" spans="2:6">
      <c r="B26" t="s">
        <v>31</v>
      </c>
      <c r="C26" t="s">
        <v>33</v>
      </c>
      <c r="D26" t="s">
        <v>43</v>
      </c>
    </row>
    <row r="27" spans="2:6">
      <c r="B27" t="s">
        <v>32</v>
      </c>
      <c r="C27" t="s">
        <v>33</v>
      </c>
      <c r="D27">
        <f>-E27</f>
        <v>0</v>
      </c>
    </row>
    <row r="28" spans="2:6">
      <c r="B28" t="s">
        <v>34</v>
      </c>
      <c r="D28">
        <v>4988.7</v>
      </c>
      <c r="E28">
        <f>D28/B4*0.7</f>
        <v>2.1944198322179278E-2</v>
      </c>
    </row>
    <row r="29" spans="2:6">
      <c r="B29" t="s">
        <v>35</v>
      </c>
      <c r="D29" t="s">
        <v>43</v>
      </c>
    </row>
    <row r="30" spans="2:6">
      <c r="B30" t="s">
        <v>36</v>
      </c>
      <c r="C30" t="s">
        <v>13</v>
      </c>
      <c r="D30">
        <v>370</v>
      </c>
    </row>
    <row r="31" spans="2:6">
      <c r="B31" t="s">
        <v>37</v>
      </c>
      <c r="D31" t="s">
        <v>43</v>
      </c>
    </row>
    <row r="32" spans="2:6">
      <c r="B32" t="s">
        <v>38</v>
      </c>
      <c r="D32" t="s">
        <v>43</v>
      </c>
    </row>
    <row r="33" spans="2:5">
      <c r="B33" t="s">
        <v>39</v>
      </c>
    </row>
    <row r="34" spans="2:5">
      <c r="B34" t="s">
        <v>40</v>
      </c>
      <c r="D34">
        <v>16800</v>
      </c>
    </row>
    <row r="35" spans="2:5">
      <c r="B35" t="s">
        <v>41</v>
      </c>
      <c r="D35">
        <v>13821.49</v>
      </c>
      <c r="E35">
        <f>D35/B4</f>
        <v>8.6853866214220629E-2</v>
      </c>
    </row>
    <row r="36" spans="2:5">
      <c r="B36" t="s">
        <v>42</v>
      </c>
      <c r="D36">
        <v>1873567</v>
      </c>
      <c r="E36">
        <f>D36/B4</f>
        <v>11.773443931253338</v>
      </c>
    </row>
    <row r="37" spans="2:5">
      <c r="B37" t="s">
        <v>44</v>
      </c>
      <c r="D37">
        <v>10274.6</v>
      </c>
      <c r="E37">
        <f>D37/B4</f>
        <v>6.456530618657115E-2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7"/>
  <sheetViews>
    <sheetView workbookViewId="0">
      <selection activeCell="B20" sqref="B20:B27"/>
    </sheetView>
  </sheetViews>
  <sheetFormatPr defaultRowHeight="14.25"/>
  <cols>
    <col min="5" max="5" width="13" bestFit="1" customWidth="1"/>
  </cols>
  <sheetData>
    <row r="1" spans="1:6">
      <c r="A1" t="s">
        <v>45</v>
      </c>
    </row>
    <row r="2" spans="1:6">
      <c r="A2" t="s">
        <v>1</v>
      </c>
      <c r="B2">
        <v>90000</v>
      </c>
      <c r="C2" t="s">
        <v>4</v>
      </c>
    </row>
    <row r="3" spans="1:6">
      <c r="A3" t="s">
        <v>2</v>
      </c>
      <c r="B3">
        <v>40000</v>
      </c>
      <c r="C3" t="s">
        <v>4</v>
      </c>
    </row>
    <row r="4" spans="1:6">
      <c r="A4" t="s">
        <v>3</v>
      </c>
      <c r="B4">
        <f>B2+B3</f>
        <v>130000</v>
      </c>
    </row>
    <row r="6" spans="1:6">
      <c r="A6" t="s">
        <v>5</v>
      </c>
      <c r="B6" t="s">
        <v>6</v>
      </c>
    </row>
    <row r="7" spans="1:6">
      <c r="A7" t="s">
        <v>7</v>
      </c>
      <c r="B7">
        <v>6</v>
      </c>
    </row>
    <row r="9" spans="1:6">
      <c r="A9" t="s">
        <v>8</v>
      </c>
      <c r="B9" t="s">
        <v>9</v>
      </c>
      <c r="C9" t="s">
        <v>10</v>
      </c>
      <c r="D9" t="s">
        <v>11</v>
      </c>
    </row>
    <row r="10" spans="1:6">
      <c r="B10" t="s">
        <v>12</v>
      </c>
      <c r="C10" t="s">
        <v>13</v>
      </c>
      <c r="D10">
        <v>14.779</v>
      </c>
      <c r="E10">
        <f>D10/B4</f>
        <v>1.1368461538461538E-4</v>
      </c>
    </row>
    <row r="11" spans="1:6">
      <c r="B11" t="s">
        <v>14</v>
      </c>
      <c r="C11" t="s">
        <v>13</v>
      </c>
      <c r="D11">
        <v>386.13600000000002</v>
      </c>
    </row>
    <row r="12" spans="1:6">
      <c r="B12" t="s">
        <v>15</v>
      </c>
      <c r="C12" t="s">
        <v>13</v>
      </c>
      <c r="D12">
        <v>3887.473</v>
      </c>
      <c r="E12">
        <f>D11+D12</f>
        <v>4273.6090000000004</v>
      </c>
      <c r="F12">
        <f>E12/B4</f>
        <v>3.2873915384615385E-2</v>
      </c>
    </row>
    <row r="13" spans="1:6">
      <c r="B13" t="s">
        <v>16</v>
      </c>
      <c r="C13" t="s">
        <v>13</v>
      </c>
      <c r="D13">
        <v>18433.023000000001</v>
      </c>
    </row>
    <row r="14" spans="1:6">
      <c r="B14" t="s">
        <v>17</v>
      </c>
      <c r="C14" t="s">
        <v>53</v>
      </c>
      <c r="D14">
        <v>26002.502</v>
      </c>
      <c r="E14">
        <f>SUM(D14:D19)/2.3</f>
        <v>61071.076521739131</v>
      </c>
      <c r="F14">
        <f>E14/B4</f>
        <v>0.4697775117056856</v>
      </c>
    </row>
    <row r="15" spans="1:6">
      <c r="B15" t="s">
        <v>18</v>
      </c>
      <c r="C15" t="s">
        <v>53</v>
      </c>
      <c r="D15">
        <v>835.63900000000001</v>
      </c>
    </row>
    <row r="16" spans="1:6">
      <c r="B16" t="s">
        <v>19</v>
      </c>
      <c r="C16" t="s">
        <v>53</v>
      </c>
      <c r="D16">
        <v>2605.9659999999999</v>
      </c>
    </row>
    <row r="17" spans="2:8">
      <c r="B17" t="s">
        <v>20</v>
      </c>
      <c r="C17" t="s">
        <v>53</v>
      </c>
      <c r="D17">
        <v>96252.354999999996</v>
      </c>
    </row>
    <row r="18" spans="2:8">
      <c r="B18" t="s">
        <v>21</v>
      </c>
      <c r="C18" t="s">
        <v>53</v>
      </c>
      <c r="D18">
        <v>11957.419</v>
      </c>
    </row>
    <row r="19" spans="2:8">
      <c r="B19" t="s">
        <v>22</v>
      </c>
      <c r="C19" t="s">
        <v>53</v>
      </c>
      <c r="D19">
        <v>2809.5949999999998</v>
      </c>
      <c r="H19" t="s">
        <v>529</v>
      </c>
    </row>
    <row r="20" spans="2:8">
      <c r="B20" t="s">
        <v>25</v>
      </c>
      <c r="C20" t="s">
        <v>493</v>
      </c>
      <c r="D20">
        <v>159.65600000000001</v>
      </c>
      <c r="E20">
        <f>SUM(D20:D27)</f>
        <v>71923.148000000001</v>
      </c>
      <c r="F20">
        <f>E20/B4</f>
        <v>0.55325498461538458</v>
      </c>
      <c r="H20">
        <f>D20/SUM($D$20:$D$27)</f>
        <v>2.2198138490823567E-3</v>
      </c>
    </row>
    <row r="21" spans="2:8">
      <c r="B21" t="s">
        <v>26</v>
      </c>
      <c r="C21" t="s">
        <v>493</v>
      </c>
      <c r="D21">
        <v>3604.7159999999999</v>
      </c>
      <c r="H21">
        <f t="shared" ref="H21:H27" si="0">D21/SUM($D$20:$D$27)</f>
        <v>5.0118996459943603E-2</v>
      </c>
    </row>
    <row r="22" spans="2:8">
      <c r="B22" t="s">
        <v>27</v>
      </c>
      <c r="C22" t="s">
        <v>493</v>
      </c>
      <c r="D22">
        <v>5370.1660000000002</v>
      </c>
      <c r="H22">
        <f t="shared" si="0"/>
        <v>7.4665335838748334E-2</v>
      </c>
    </row>
    <row r="23" spans="2:8">
      <c r="B23" t="s">
        <v>46</v>
      </c>
      <c r="C23" t="s">
        <v>493</v>
      </c>
      <c r="D23">
        <v>5762.0290000000005</v>
      </c>
      <c r="H23">
        <f t="shared" si="0"/>
        <v>8.0113693021334392E-2</v>
      </c>
    </row>
    <row r="24" spans="2:8">
      <c r="B24" t="s">
        <v>28</v>
      </c>
      <c r="C24" t="s">
        <v>493</v>
      </c>
      <c r="D24">
        <v>340.78</v>
      </c>
      <c r="H24">
        <f t="shared" si="0"/>
        <v>4.738112964688364E-3</v>
      </c>
    </row>
    <row r="25" spans="2:8">
      <c r="B25" t="s">
        <v>29</v>
      </c>
      <c r="C25" t="s">
        <v>493</v>
      </c>
      <c r="D25">
        <v>1020.175</v>
      </c>
      <c r="H25">
        <f t="shared" si="0"/>
        <v>1.4184237319534455E-2</v>
      </c>
    </row>
    <row r="26" spans="2:8">
      <c r="B26" t="s">
        <v>31</v>
      </c>
      <c r="C26" t="s">
        <v>493</v>
      </c>
      <c r="D26">
        <v>21.298999999999999</v>
      </c>
      <c r="H26">
        <f t="shared" si="0"/>
        <v>2.9613553622541661E-4</v>
      </c>
    </row>
    <row r="27" spans="2:8">
      <c r="B27" t="s">
        <v>32</v>
      </c>
      <c r="C27" t="s">
        <v>493</v>
      </c>
      <c r="D27">
        <v>55644.326999999997</v>
      </c>
      <c r="H27">
        <f t="shared" si="0"/>
        <v>0.77366367501044309</v>
      </c>
    </row>
    <row r="28" spans="2:8">
      <c r="B28" t="s">
        <v>34</v>
      </c>
      <c r="D28">
        <v>994.43100000000004</v>
      </c>
      <c r="E28">
        <f>D28/B4</f>
        <v>7.6494692307692309E-3</v>
      </c>
    </row>
    <row r="29" spans="2:8">
      <c r="B29" t="s">
        <v>35</v>
      </c>
      <c r="D29" t="s">
        <v>43</v>
      </c>
    </row>
    <row r="30" spans="2:8">
      <c r="B30" t="s">
        <v>36</v>
      </c>
      <c r="C30" t="s">
        <v>13</v>
      </c>
      <c r="D30">
        <v>27.489000000000001</v>
      </c>
    </row>
    <row r="31" spans="2:8">
      <c r="B31" t="s">
        <v>37</v>
      </c>
      <c r="C31" t="s">
        <v>13</v>
      </c>
      <c r="D31">
        <v>7.7990000000000004</v>
      </c>
      <c r="E31">
        <f>D31/B4</f>
        <v>5.9992307692307693E-5</v>
      </c>
    </row>
    <row r="32" spans="2:8">
      <c r="B32" t="s">
        <v>38</v>
      </c>
      <c r="C32" t="s">
        <v>13</v>
      </c>
      <c r="D32">
        <v>135.52099999999999</v>
      </c>
      <c r="E32">
        <f>D32/B4</f>
        <v>1.0424692307692306E-3</v>
      </c>
    </row>
    <row r="33" spans="2:6">
      <c r="B33" t="s">
        <v>39</v>
      </c>
      <c r="C33" t="s">
        <v>13</v>
      </c>
      <c r="D33">
        <v>8.4000000000000005E-2</v>
      </c>
    </row>
    <row r="34" spans="2:6">
      <c r="B34" t="s">
        <v>40</v>
      </c>
      <c r="C34" t="s">
        <v>13</v>
      </c>
      <c r="D34">
        <v>432.01799999999997</v>
      </c>
    </row>
    <row r="35" spans="2:6">
      <c r="B35" t="s">
        <v>41</v>
      </c>
      <c r="C35" t="s">
        <v>497</v>
      </c>
      <c r="D35">
        <v>13256.66</v>
      </c>
      <c r="E35">
        <f>D35/B4</f>
        <v>0.1019743076923077</v>
      </c>
    </row>
    <row r="36" spans="2:6">
      <c r="B36" t="s">
        <v>42</v>
      </c>
      <c r="C36" t="s">
        <v>497</v>
      </c>
      <c r="D36">
        <v>2988.5819999999999</v>
      </c>
      <c r="E36">
        <f>D36/B4</f>
        <v>2.2989092307692308E-2</v>
      </c>
      <c r="F36">
        <f>D36*400/B4</f>
        <v>9.1956369230769237</v>
      </c>
    </row>
    <row r="37" spans="2:6">
      <c r="B37" t="s">
        <v>44</v>
      </c>
      <c r="D37" t="s">
        <v>47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39"/>
  <sheetViews>
    <sheetView workbookViewId="0">
      <selection activeCell="E21" sqref="E21"/>
    </sheetView>
  </sheetViews>
  <sheetFormatPr defaultRowHeight="14.25"/>
  <cols>
    <col min="5" max="5" width="13" bestFit="1" customWidth="1"/>
  </cols>
  <sheetData>
    <row r="1" spans="1:8">
      <c r="A1" t="s">
        <v>49</v>
      </c>
    </row>
    <row r="2" spans="1:8">
      <c r="A2" t="s">
        <v>1</v>
      </c>
      <c r="B2">
        <v>90000</v>
      </c>
      <c r="C2" t="s">
        <v>4</v>
      </c>
    </row>
    <row r="3" spans="1:8">
      <c r="A3" t="s">
        <v>2</v>
      </c>
      <c r="B3">
        <v>7000</v>
      </c>
      <c r="C3" t="s">
        <v>4</v>
      </c>
    </row>
    <row r="4" spans="1:8">
      <c r="A4" t="s">
        <v>3</v>
      </c>
      <c r="B4">
        <f>B2+B3</f>
        <v>97000</v>
      </c>
    </row>
    <row r="6" spans="1:8">
      <c r="A6" t="s">
        <v>5</v>
      </c>
      <c r="B6" t="s">
        <v>50</v>
      </c>
    </row>
    <row r="7" spans="1:8">
      <c r="A7" t="s">
        <v>7</v>
      </c>
      <c r="B7">
        <v>7</v>
      </c>
    </row>
    <row r="9" spans="1:8">
      <c r="A9" t="s">
        <v>8</v>
      </c>
      <c r="B9" t="s">
        <v>9</v>
      </c>
      <c r="C9" t="s">
        <v>10</v>
      </c>
      <c r="D9" t="s">
        <v>11</v>
      </c>
    </row>
    <row r="10" spans="1:8">
      <c r="B10" t="s">
        <v>12</v>
      </c>
      <c r="C10" t="s">
        <v>13</v>
      </c>
      <c r="D10">
        <v>7365.19</v>
      </c>
      <c r="E10">
        <f>D10/B4</f>
        <v>7.5929793814432989E-2</v>
      </c>
    </row>
    <row r="11" spans="1:8">
      <c r="B11" t="s">
        <v>14</v>
      </c>
      <c r="C11" t="s">
        <v>13</v>
      </c>
      <c r="D11" t="s">
        <v>48</v>
      </c>
    </row>
    <row r="12" spans="1:8">
      <c r="B12" t="s">
        <v>15</v>
      </c>
      <c r="C12" t="s">
        <v>13</v>
      </c>
      <c r="D12" t="s">
        <v>48</v>
      </c>
    </row>
    <row r="13" spans="1:8">
      <c r="B13" t="s">
        <v>16</v>
      </c>
      <c r="C13" t="s">
        <v>13</v>
      </c>
      <c r="D13">
        <v>2054.9899999999998</v>
      </c>
      <c r="F13">
        <f>D13/B4</f>
        <v>2.1185463917525772E-2</v>
      </c>
      <c r="H13" t="s">
        <v>529</v>
      </c>
    </row>
    <row r="14" spans="1:8" ht="16.5">
      <c r="B14" t="s">
        <v>51</v>
      </c>
      <c r="C14" t="s">
        <v>23</v>
      </c>
      <c r="D14">
        <v>11591.07</v>
      </c>
      <c r="E14">
        <f>SUM(D14:D20)/2.4</f>
        <v>61331.958333333328</v>
      </c>
      <c r="F14">
        <f>E14/B4</f>
        <v>0.63228823024054981</v>
      </c>
    </row>
    <row r="15" spans="1:8" ht="16.5">
      <c r="B15" t="s">
        <v>17</v>
      </c>
      <c r="C15" t="s">
        <v>23</v>
      </c>
      <c r="D15">
        <v>17790.48</v>
      </c>
      <c r="H15">
        <f>D15/SUM($D$15:$D$20)</f>
        <v>0.13119278307250223</v>
      </c>
    </row>
    <row r="16" spans="1:8" ht="16.5">
      <c r="B16" t="s">
        <v>18</v>
      </c>
      <c r="C16" t="s">
        <v>24</v>
      </c>
      <c r="D16">
        <v>1040.48</v>
      </c>
      <c r="H16">
        <f t="shared" ref="H16:H20" si="0">D16/SUM($D$15:$D$20)</f>
        <v>7.6728377722960336E-3</v>
      </c>
    </row>
    <row r="17" spans="2:8" ht="16.5">
      <c r="B17" t="s">
        <v>19</v>
      </c>
      <c r="C17" t="s">
        <v>24</v>
      </c>
      <c r="D17">
        <v>94199.48</v>
      </c>
      <c r="H17">
        <f t="shared" si="0"/>
        <v>0.69465758906912656</v>
      </c>
    </row>
    <row r="18" spans="2:8" ht="16.5">
      <c r="B18" t="s">
        <v>20</v>
      </c>
      <c r="C18" t="s">
        <v>24</v>
      </c>
      <c r="D18">
        <v>4296.75</v>
      </c>
      <c r="H18">
        <f t="shared" si="0"/>
        <v>3.1685631341412598E-2</v>
      </c>
    </row>
    <row r="19" spans="2:8" ht="16.5">
      <c r="B19" t="s">
        <v>21</v>
      </c>
      <c r="C19" t="s">
        <v>24</v>
      </c>
      <c r="D19">
        <v>17285.919999999998</v>
      </c>
      <c r="H19">
        <f t="shared" si="0"/>
        <v>0.1274719936038054</v>
      </c>
    </row>
    <row r="20" spans="2:8" ht="16.5">
      <c r="B20" t="s">
        <v>22</v>
      </c>
      <c r="C20" t="s">
        <v>24</v>
      </c>
      <c r="D20">
        <v>992.52</v>
      </c>
      <c r="H20">
        <f t="shared" si="0"/>
        <v>7.3191651408573534E-3</v>
      </c>
    </row>
    <row r="21" spans="2:8">
      <c r="B21" t="s">
        <v>25</v>
      </c>
      <c r="C21" t="s">
        <v>33</v>
      </c>
      <c r="D21" t="s">
        <v>48</v>
      </c>
      <c r="E21">
        <f>SUM(D21:D28)</f>
        <v>5750.3899999999994</v>
      </c>
      <c r="F21">
        <f>E21/B4</f>
        <v>5.9282371134020614E-2</v>
      </c>
      <c r="G21">
        <f>F21*1.7</f>
        <v>0.10078003092783504</v>
      </c>
    </row>
    <row r="22" spans="2:8">
      <c r="B22" t="s">
        <v>26</v>
      </c>
      <c r="C22" t="s">
        <v>33</v>
      </c>
      <c r="D22">
        <v>3354.74</v>
      </c>
    </row>
    <row r="23" spans="2:8">
      <c r="B23" t="s">
        <v>27</v>
      </c>
      <c r="C23" t="s">
        <v>33</v>
      </c>
      <c r="D23" t="s">
        <v>48</v>
      </c>
    </row>
    <row r="24" spans="2:8">
      <c r="B24" t="s">
        <v>46</v>
      </c>
      <c r="C24" t="s">
        <v>33</v>
      </c>
      <c r="D24" t="s">
        <v>48</v>
      </c>
    </row>
    <row r="25" spans="2:8">
      <c r="B25" t="s">
        <v>28</v>
      </c>
      <c r="C25" t="s">
        <v>33</v>
      </c>
      <c r="D25">
        <v>340.66</v>
      </c>
    </row>
    <row r="26" spans="2:8">
      <c r="B26" t="s">
        <v>29</v>
      </c>
      <c r="C26" t="s">
        <v>33</v>
      </c>
      <c r="D26">
        <v>2054.9899999999998</v>
      </c>
    </row>
    <row r="27" spans="2:8">
      <c r="B27" t="s">
        <v>31</v>
      </c>
      <c r="C27" t="s">
        <v>33</v>
      </c>
      <c r="D27" t="s">
        <v>48</v>
      </c>
    </row>
    <row r="28" spans="2:8">
      <c r="B28" t="s">
        <v>32</v>
      </c>
      <c r="C28" t="s">
        <v>33</v>
      </c>
      <c r="D28" t="s">
        <v>48</v>
      </c>
    </row>
    <row r="29" spans="2:8">
      <c r="B29" t="s">
        <v>34</v>
      </c>
      <c r="C29" t="s">
        <v>53</v>
      </c>
      <c r="D29">
        <v>3.75</v>
      </c>
      <c r="E29">
        <f>D29/B4</f>
        <v>3.8659793814432987E-5</v>
      </c>
    </row>
    <row r="30" spans="2:8">
      <c r="B30" t="s">
        <v>35</v>
      </c>
      <c r="D30" t="s">
        <v>43</v>
      </c>
    </row>
    <row r="31" spans="2:8">
      <c r="B31" t="s">
        <v>36</v>
      </c>
      <c r="C31" t="s">
        <v>13</v>
      </c>
      <c r="D31">
        <v>27.489000000000001</v>
      </c>
      <c r="E31">
        <f>D31/97000</f>
        <v>2.8339175257731961E-4</v>
      </c>
    </row>
    <row r="32" spans="2:8">
      <c r="B32" t="s">
        <v>37</v>
      </c>
      <c r="D32">
        <v>43.94</v>
      </c>
      <c r="E32">
        <f t="shared" ref="E32:E36" si="1">D32/97000</f>
        <v>4.5298969072164947E-4</v>
      </c>
    </row>
    <row r="33" spans="2:5">
      <c r="B33" t="s">
        <v>38</v>
      </c>
      <c r="C33" t="s">
        <v>53</v>
      </c>
      <c r="D33">
        <v>484.23</v>
      </c>
      <c r="E33">
        <f t="shared" si="1"/>
        <v>4.9920618556701032E-3</v>
      </c>
    </row>
    <row r="34" spans="2:5">
      <c r="B34" t="s">
        <v>55</v>
      </c>
      <c r="C34" t="s">
        <v>53</v>
      </c>
      <c r="D34">
        <v>93.12</v>
      </c>
      <c r="E34">
        <f t="shared" si="1"/>
        <v>9.6000000000000002E-4</v>
      </c>
    </row>
    <row r="35" spans="2:5">
      <c r="B35" t="s">
        <v>54</v>
      </c>
      <c r="C35" t="s">
        <v>53</v>
      </c>
      <c r="D35">
        <v>635</v>
      </c>
      <c r="E35">
        <f t="shared" si="1"/>
        <v>6.5463917525773194E-3</v>
      </c>
    </row>
    <row r="36" spans="2:5">
      <c r="B36" t="s">
        <v>40</v>
      </c>
      <c r="D36">
        <v>64.989999999999995</v>
      </c>
      <c r="E36">
        <f t="shared" si="1"/>
        <v>6.6999999999999991E-4</v>
      </c>
    </row>
    <row r="37" spans="2:5">
      <c r="B37" t="s">
        <v>41</v>
      </c>
      <c r="D37" t="s">
        <v>48</v>
      </c>
    </row>
    <row r="38" spans="2:5">
      <c r="B38" t="s">
        <v>42</v>
      </c>
      <c r="D38" t="s">
        <v>48</v>
      </c>
    </row>
    <row r="39" spans="2:5">
      <c r="B39" t="s">
        <v>44</v>
      </c>
      <c r="D39" t="s">
        <v>47</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F40"/>
  <sheetViews>
    <sheetView workbookViewId="0">
      <selection activeCell="D38" sqref="D38"/>
    </sheetView>
  </sheetViews>
  <sheetFormatPr defaultRowHeight="14.25"/>
  <sheetData>
    <row r="1" spans="1:6">
      <c r="A1" t="s">
        <v>61</v>
      </c>
    </row>
    <row r="2" spans="1:6">
      <c r="A2" t="s">
        <v>1</v>
      </c>
      <c r="B2" t="s">
        <v>48</v>
      </c>
      <c r="C2" t="s">
        <v>4</v>
      </c>
    </row>
    <row r="3" spans="1:6">
      <c r="A3" t="s">
        <v>2</v>
      </c>
      <c r="B3" t="s">
        <v>48</v>
      </c>
      <c r="C3" t="s">
        <v>4</v>
      </c>
    </row>
    <row r="4" spans="1:6">
      <c r="A4" t="s">
        <v>3</v>
      </c>
      <c r="B4" t="s">
        <v>48</v>
      </c>
    </row>
    <row r="6" spans="1:6">
      <c r="A6" t="s">
        <v>5</v>
      </c>
      <c r="B6" t="s">
        <v>50</v>
      </c>
    </row>
    <row r="7" spans="1:6">
      <c r="A7" t="s">
        <v>7</v>
      </c>
      <c r="B7" t="s">
        <v>48</v>
      </c>
    </row>
    <row r="9" spans="1:6">
      <c r="A9" t="s">
        <v>8</v>
      </c>
      <c r="B9" t="s">
        <v>9</v>
      </c>
      <c r="C9" t="s">
        <v>10</v>
      </c>
      <c r="D9" t="s">
        <v>56</v>
      </c>
    </row>
    <row r="10" spans="1:6">
      <c r="B10" t="s">
        <v>12</v>
      </c>
      <c r="C10" t="s">
        <v>13</v>
      </c>
      <c r="D10">
        <v>77.02</v>
      </c>
      <c r="E10" t="e">
        <f>D10/B4</f>
        <v>#VALUE!</v>
      </c>
    </row>
    <row r="11" spans="1:6">
      <c r="B11" t="s">
        <v>14</v>
      </c>
      <c r="C11" t="s">
        <v>13</v>
      </c>
      <c r="D11" t="s">
        <v>48</v>
      </c>
    </row>
    <row r="12" spans="1:6">
      <c r="B12" t="s">
        <v>15</v>
      </c>
      <c r="C12" t="s">
        <v>13</v>
      </c>
      <c r="D12">
        <v>72.66</v>
      </c>
    </row>
    <row r="13" spans="1:6">
      <c r="B13" t="s">
        <v>16</v>
      </c>
      <c r="C13" t="s">
        <v>13</v>
      </c>
      <c r="D13">
        <v>2054.9899999999998</v>
      </c>
      <c r="F13" t="e">
        <f>D13/B4</f>
        <v>#VALUE!</v>
      </c>
    </row>
    <row r="14" spans="1:6" ht="16.5">
      <c r="B14" t="s">
        <v>51</v>
      </c>
      <c r="C14" t="s">
        <v>23</v>
      </c>
      <c r="D14">
        <v>0.32</v>
      </c>
      <c r="E14">
        <f>SUM(D14:D20)</f>
        <v>0.32</v>
      </c>
    </row>
    <row r="15" spans="1:6" ht="16.5">
      <c r="B15" t="s">
        <v>17</v>
      </c>
      <c r="C15" t="s">
        <v>23</v>
      </c>
      <c r="D15" t="s">
        <v>48</v>
      </c>
    </row>
    <row r="16" spans="1:6" ht="16.5">
      <c r="B16" t="s">
        <v>18</v>
      </c>
      <c r="C16" t="s">
        <v>24</v>
      </c>
      <c r="D16" t="s">
        <v>48</v>
      </c>
    </row>
    <row r="17" spans="2:6" ht="16.5">
      <c r="B17" t="s">
        <v>19</v>
      </c>
      <c r="C17" t="s">
        <v>24</v>
      </c>
      <c r="D17" t="s">
        <v>48</v>
      </c>
    </row>
    <row r="18" spans="2:6" ht="16.5">
      <c r="B18" t="s">
        <v>20</v>
      </c>
      <c r="C18" t="s">
        <v>24</v>
      </c>
      <c r="D18" t="s">
        <v>48</v>
      </c>
    </row>
    <row r="19" spans="2:6" ht="16.5">
      <c r="B19" t="s">
        <v>21</v>
      </c>
      <c r="C19" t="s">
        <v>24</v>
      </c>
      <c r="D19" t="s">
        <v>48</v>
      </c>
    </row>
    <row r="20" spans="2:6" ht="16.5">
      <c r="B20" t="s">
        <v>22</v>
      </c>
      <c r="C20" t="s">
        <v>24</v>
      </c>
      <c r="D20" t="s">
        <v>48</v>
      </c>
    </row>
    <row r="21" spans="2:6">
      <c r="B21" t="s">
        <v>25</v>
      </c>
      <c r="C21" t="s">
        <v>53</v>
      </c>
      <c r="D21">
        <v>6.7589999999999997E-2</v>
      </c>
      <c r="E21">
        <f>SUM(D21:D28)</f>
        <v>6.7589999999999997E-2</v>
      </c>
      <c r="F21" t="e">
        <f>E21/B4</f>
        <v>#VALUE!</v>
      </c>
    </row>
    <row r="22" spans="2:6">
      <c r="B22" t="s">
        <v>26</v>
      </c>
      <c r="C22" t="s">
        <v>48</v>
      </c>
      <c r="D22" t="s">
        <v>48</v>
      </c>
    </row>
    <row r="23" spans="2:6">
      <c r="B23" t="s">
        <v>27</v>
      </c>
      <c r="C23" t="s">
        <v>48</v>
      </c>
      <c r="D23" t="s">
        <v>48</v>
      </c>
    </row>
    <row r="24" spans="2:6">
      <c r="B24" t="s">
        <v>46</v>
      </c>
      <c r="C24" t="s">
        <v>48</v>
      </c>
      <c r="D24" t="s">
        <v>48</v>
      </c>
    </row>
    <row r="25" spans="2:6">
      <c r="B25" t="s">
        <v>28</v>
      </c>
      <c r="C25" t="s">
        <v>48</v>
      </c>
      <c r="D25" t="s">
        <v>48</v>
      </c>
    </row>
    <row r="26" spans="2:6">
      <c r="B26" t="s">
        <v>29</v>
      </c>
      <c r="C26" t="s">
        <v>48</v>
      </c>
      <c r="D26" t="s">
        <v>48</v>
      </c>
    </row>
    <row r="27" spans="2:6">
      <c r="B27" t="s">
        <v>31</v>
      </c>
      <c r="C27" t="s">
        <v>48</v>
      </c>
      <c r="D27" t="s">
        <v>48</v>
      </c>
    </row>
    <row r="28" spans="2:6">
      <c r="B28" t="s">
        <v>32</v>
      </c>
      <c r="C28" t="s">
        <v>48</v>
      </c>
      <c r="D28" t="s">
        <v>48</v>
      </c>
    </row>
    <row r="29" spans="2:6">
      <c r="B29" t="s">
        <v>34</v>
      </c>
      <c r="C29" t="s">
        <v>53</v>
      </c>
      <c r="D29">
        <v>0.56000000000000005</v>
      </c>
    </row>
    <row r="30" spans="2:6">
      <c r="B30" t="s">
        <v>35</v>
      </c>
      <c r="D30" t="s">
        <v>43</v>
      </c>
    </row>
    <row r="31" spans="2:6">
      <c r="B31" t="s">
        <v>36</v>
      </c>
      <c r="C31" t="s">
        <v>13</v>
      </c>
      <c r="D31" t="s">
        <v>48</v>
      </c>
    </row>
    <row r="32" spans="2:6">
      <c r="B32" t="s">
        <v>37</v>
      </c>
      <c r="D32" t="s">
        <v>48</v>
      </c>
    </row>
    <row r="33" spans="2:4">
      <c r="B33" t="s">
        <v>38</v>
      </c>
      <c r="C33" t="s">
        <v>53</v>
      </c>
      <c r="D33" t="s">
        <v>48</v>
      </c>
    </row>
    <row r="34" spans="2:4">
      <c r="B34" t="s">
        <v>55</v>
      </c>
      <c r="C34" t="s">
        <v>53</v>
      </c>
      <c r="D34" t="s">
        <v>48</v>
      </c>
    </row>
    <row r="35" spans="2:4">
      <c r="B35" t="s">
        <v>54</v>
      </c>
      <c r="C35" t="s">
        <v>53</v>
      </c>
      <c r="D35" t="s">
        <v>48</v>
      </c>
    </row>
    <row r="36" spans="2:4">
      <c r="B36" t="s">
        <v>40</v>
      </c>
      <c r="C36" t="s">
        <v>57</v>
      </c>
      <c r="D36">
        <v>0.21</v>
      </c>
    </row>
    <row r="37" spans="2:4">
      <c r="B37" t="s">
        <v>41</v>
      </c>
      <c r="C37" t="s">
        <v>58</v>
      </c>
      <c r="D37">
        <v>0.03</v>
      </c>
    </row>
    <row r="38" spans="2:4">
      <c r="B38" t="s">
        <v>42</v>
      </c>
      <c r="C38" t="s">
        <v>59</v>
      </c>
      <c r="D38">
        <v>53.8</v>
      </c>
    </row>
    <row r="39" spans="2:4">
      <c r="B39" t="s">
        <v>44</v>
      </c>
      <c r="D39" t="s">
        <v>47</v>
      </c>
    </row>
    <row r="40" spans="2:4">
      <c r="B40" t="s">
        <v>60</v>
      </c>
      <c r="C40" t="s">
        <v>53</v>
      </c>
      <c r="D40">
        <v>2.9099999999999998E-3</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U543"/>
  <sheetViews>
    <sheetView zoomScaleNormal="100" workbookViewId="0">
      <selection activeCell="T5" sqref="T5"/>
    </sheetView>
  </sheetViews>
  <sheetFormatPr defaultRowHeight="14.25"/>
  <cols>
    <col min="20" max="20" width="13" bestFit="1" customWidth="1"/>
  </cols>
  <sheetData>
    <row r="2" spans="1:21" ht="15" thickBot="1">
      <c r="Q2" t="s">
        <v>481</v>
      </c>
      <c r="T2" t="s">
        <v>484</v>
      </c>
    </row>
    <row r="3" spans="1:21" ht="15" thickBot="1">
      <c r="A3" s="34" t="s">
        <v>62</v>
      </c>
      <c r="B3" s="34" t="s">
        <v>63</v>
      </c>
      <c r="C3" s="34" t="s">
        <v>64</v>
      </c>
      <c r="D3" s="34" t="s">
        <v>65</v>
      </c>
      <c r="E3" s="34" t="s">
        <v>66</v>
      </c>
      <c r="F3" s="70" t="s">
        <v>67</v>
      </c>
      <c r="G3" s="71"/>
      <c r="H3" s="72" t="s">
        <v>68</v>
      </c>
      <c r="J3" t="s">
        <v>132</v>
      </c>
      <c r="Q3" t="s">
        <v>482</v>
      </c>
      <c r="R3">
        <f>K4+K79+M266</f>
        <v>8530.8079999999991</v>
      </c>
      <c r="S3" t="s">
        <v>483</v>
      </c>
      <c r="T3">
        <f>R3/18741</f>
        <v>0.45519492022837627</v>
      </c>
      <c r="U3" t="s">
        <v>489</v>
      </c>
    </row>
    <row r="4" spans="1:21" ht="15" thickBot="1">
      <c r="A4" s="36"/>
      <c r="B4" s="36"/>
      <c r="C4" s="36"/>
      <c r="D4" s="36"/>
      <c r="E4" s="36"/>
      <c r="F4" s="1" t="s">
        <v>69</v>
      </c>
      <c r="G4" s="2" t="s">
        <v>70</v>
      </c>
      <c r="H4" s="30"/>
      <c r="J4" t="s">
        <v>133</v>
      </c>
      <c r="K4">
        <f>SUM(E33,E30,E42,E46,E50,E54,E58)</f>
        <v>3925.8919999999998</v>
      </c>
      <c r="L4" t="s">
        <v>58</v>
      </c>
    </row>
    <row r="5" spans="1:21" ht="15" thickBot="1">
      <c r="A5" s="3"/>
      <c r="B5" s="1" t="s">
        <v>71</v>
      </c>
      <c r="C5" s="4" t="s">
        <v>72</v>
      </c>
      <c r="D5" s="1"/>
      <c r="E5" s="1"/>
      <c r="F5" s="1"/>
      <c r="G5" s="5"/>
      <c r="H5" s="6"/>
      <c r="Q5" t="s">
        <v>485</v>
      </c>
      <c r="R5">
        <f>K6+K81+0</f>
        <v>859.85699999999997</v>
      </c>
      <c r="S5" t="s">
        <v>480</v>
      </c>
      <c r="T5">
        <f>R5/18741*1000</f>
        <v>45.881062910196889</v>
      </c>
      <c r="U5" t="s">
        <v>486</v>
      </c>
    </row>
    <row r="6" spans="1:21" ht="24" thickBot="1">
      <c r="A6" s="7"/>
      <c r="B6" s="8" t="s">
        <v>73</v>
      </c>
      <c r="C6" s="6" t="s">
        <v>74</v>
      </c>
      <c r="D6" s="6"/>
      <c r="E6" s="8"/>
      <c r="F6" s="8"/>
      <c r="G6" s="9"/>
      <c r="H6" s="10"/>
      <c r="I6">
        <f>K6/R5</f>
        <v>0.47621988307358087</v>
      </c>
      <c r="J6" t="s">
        <v>134</v>
      </c>
      <c r="K6">
        <f>SUM(E58,E62,E65,E68)</f>
        <v>409.48099999999999</v>
      </c>
      <c r="L6" t="s">
        <v>53</v>
      </c>
    </row>
    <row r="7" spans="1:21">
      <c r="A7" s="34">
        <v>1</v>
      </c>
      <c r="B7" s="34">
        <v>10101001001</v>
      </c>
      <c r="C7" s="11" t="s">
        <v>75</v>
      </c>
      <c r="D7" s="34" t="s">
        <v>4</v>
      </c>
      <c r="E7" s="34">
        <v>5662.05</v>
      </c>
      <c r="F7" s="34">
        <v>0.54</v>
      </c>
      <c r="G7" s="38">
        <v>3057.51</v>
      </c>
      <c r="H7" s="55"/>
      <c r="Q7" t="s">
        <v>487</v>
      </c>
      <c r="R7">
        <f>K8+K83+M270</f>
        <v>2076.3611999999998</v>
      </c>
      <c r="S7" t="s">
        <v>483</v>
      </c>
      <c r="T7">
        <f>R7/18741</f>
        <v>0.11079244437329917</v>
      </c>
      <c r="U7" t="s">
        <v>489</v>
      </c>
    </row>
    <row r="8" spans="1:21" ht="34.5">
      <c r="A8" s="35"/>
      <c r="B8" s="35"/>
      <c r="C8" s="6" t="s">
        <v>76</v>
      </c>
      <c r="D8" s="35"/>
      <c r="E8" s="35"/>
      <c r="F8" s="35"/>
      <c r="G8" s="39"/>
      <c r="H8" s="56"/>
      <c r="J8" t="s">
        <v>135</v>
      </c>
      <c r="K8">
        <f>SUM(E38)</f>
        <v>229.32</v>
      </c>
      <c r="L8" t="s">
        <v>58</v>
      </c>
    </row>
    <row r="9" spans="1:21" ht="23.25">
      <c r="A9" s="35"/>
      <c r="B9" s="35"/>
      <c r="C9" s="6" t="s">
        <v>77</v>
      </c>
      <c r="D9" s="35"/>
      <c r="E9" s="35"/>
      <c r="F9" s="35"/>
      <c r="G9" s="39"/>
      <c r="H9" s="56"/>
      <c r="Q9" t="s">
        <v>488</v>
      </c>
      <c r="R9">
        <f>K85</f>
        <v>4755.92</v>
      </c>
      <c r="S9" t="s">
        <v>483</v>
      </c>
      <c r="T9">
        <f>R9/18741</f>
        <v>0.25377087668747667</v>
      </c>
      <c r="U9" t="s">
        <v>489</v>
      </c>
    </row>
    <row r="10" spans="1:21" ht="24" thickBot="1">
      <c r="A10" s="36"/>
      <c r="B10" s="36"/>
      <c r="C10" s="4" t="s">
        <v>78</v>
      </c>
      <c r="D10" s="36"/>
      <c r="E10" s="36"/>
      <c r="F10" s="36"/>
      <c r="G10" s="40"/>
      <c r="H10" s="57"/>
      <c r="J10" t="s">
        <v>498</v>
      </c>
      <c r="T10">
        <f t="shared" ref="T10:T11" si="0">R10/18741</f>
        <v>0</v>
      </c>
    </row>
    <row r="11" spans="1:21">
      <c r="A11" s="34">
        <v>2</v>
      </c>
      <c r="B11" s="34">
        <v>10101002002</v>
      </c>
      <c r="C11" s="6" t="s">
        <v>79</v>
      </c>
      <c r="D11" s="34" t="s">
        <v>33</v>
      </c>
      <c r="E11" s="34">
        <v>1959.27</v>
      </c>
      <c r="F11" s="34">
        <v>25.99</v>
      </c>
      <c r="G11" s="38">
        <v>50921.43</v>
      </c>
      <c r="H11" s="55"/>
      <c r="Q11" t="s">
        <v>490</v>
      </c>
      <c r="R11">
        <f>K87+M274</f>
        <v>216.64999999999998</v>
      </c>
      <c r="S11" t="s">
        <v>483</v>
      </c>
      <c r="T11">
        <f t="shared" si="0"/>
        <v>1.1560215570140333E-2</v>
      </c>
      <c r="U11" t="s">
        <v>489</v>
      </c>
    </row>
    <row r="12" spans="1:21" ht="23.25">
      <c r="A12" s="35"/>
      <c r="B12" s="35"/>
      <c r="C12" s="6" t="s">
        <v>80</v>
      </c>
      <c r="D12" s="35"/>
      <c r="E12" s="35"/>
      <c r="F12" s="35"/>
      <c r="G12" s="39"/>
      <c r="H12" s="56"/>
      <c r="J12" t="s">
        <v>499</v>
      </c>
    </row>
    <row r="13" spans="1:21" ht="57">
      <c r="A13" s="35"/>
      <c r="B13" s="35"/>
      <c r="C13" s="6" t="s">
        <v>81</v>
      </c>
      <c r="D13" s="35"/>
      <c r="E13" s="35"/>
      <c r="F13" s="35"/>
      <c r="G13" s="39"/>
      <c r="H13" s="56"/>
      <c r="Q13" t="s">
        <v>475</v>
      </c>
      <c r="R13">
        <f>M277</f>
        <v>3.1512636000000001</v>
      </c>
      <c r="S13" t="s">
        <v>480</v>
      </c>
      <c r="T13">
        <f>R13/18741*1000</f>
        <v>0.16814810308948297</v>
      </c>
    </row>
    <row r="14" spans="1:21" ht="45.75">
      <c r="A14" s="35"/>
      <c r="B14" s="35"/>
      <c r="C14" s="6" t="s">
        <v>82</v>
      </c>
      <c r="D14" s="35"/>
      <c r="E14" s="35"/>
      <c r="F14" s="35"/>
      <c r="G14" s="39"/>
      <c r="H14" s="56"/>
      <c r="J14" t="s">
        <v>500</v>
      </c>
      <c r="T14">
        <f t="shared" ref="T14:T17" si="1">R14/18741*1000</f>
        <v>0</v>
      </c>
    </row>
    <row r="15" spans="1:21" ht="24" thickBot="1">
      <c r="A15" s="36"/>
      <c r="B15" s="36"/>
      <c r="C15" s="4" t="s">
        <v>83</v>
      </c>
      <c r="D15" s="36"/>
      <c r="E15" s="36"/>
      <c r="F15" s="36"/>
      <c r="G15" s="40"/>
      <c r="H15" s="57"/>
      <c r="Q15" t="s">
        <v>491</v>
      </c>
      <c r="R15">
        <v>1.722</v>
      </c>
      <c r="S15" t="s">
        <v>480</v>
      </c>
      <c r="T15">
        <f t="shared" si="1"/>
        <v>9.1884104370097655E-2</v>
      </c>
    </row>
    <row r="16" spans="1:21" ht="23.25">
      <c r="A16" s="34">
        <v>3</v>
      </c>
      <c r="B16" s="34">
        <v>10101003001</v>
      </c>
      <c r="C16" s="6" t="s">
        <v>84</v>
      </c>
      <c r="D16" s="34" t="s">
        <v>33</v>
      </c>
      <c r="E16" s="34">
        <v>1681.64</v>
      </c>
      <c r="F16" s="34">
        <v>268.12</v>
      </c>
      <c r="G16" s="38">
        <v>450881.58</v>
      </c>
      <c r="H16" s="50"/>
      <c r="J16" t="s">
        <v>501</v>
      </c>
      <c r="T16">
        <f t="shared" si="1"/>
        <v>0</v>
      </c>
    </row>
    <row r="17" spans="1:21" ht="68.25">
      <c r="A17" s="35"/>
      <c r="B17" s="35"/>
      <c r="C17" s="6" t="s">
        <v>85</v>
      </c>
      <c r="D17" s="35"/>
      <c r="E17" s="35"/>
      <c r="F17" s="35"/>
      <c r="G17" s="39"/>
      <c r="H17" s="32"/>
      <c r="Q17" t="s">
        <v>492</v>
      </c>
      <c r="R17">
        <v>17.341000000000001</v>
      </c>
      <c r="S17" t="s">
        <v>480</v>
      </c>
      <c r="T17">
        <f t="shared" si="1"/>
        <v>0.92529747612187196</v>
      </c>
      <c r="U17">
        <f>T17*1000/80</f>
        <v>11.566218451523399</v>
      </c>
    </row>
    <row r="18" spans="1:21" ht="34.5">
      <c r="A18" s="35"/>
      <c r="B18" s="35"/>
      <c r="C18" s="6" t="s">
        <v>86</v>
      </c>
      <c r="D18" s="35"/>
      <c r="E18" s="35"/>
      <c r="F18" s="35"/>
      <c r="G18" s="39"/>
      <c r="H18" s="32"/>
      <c r="J18" t="s">
        <v>502</v>
      </c>
    </row>
    <row r="19" spans="1:21" ht="15" thickBot="1">
      <c r="A19" s="36"/>
      <c r="B19" s="36"/>
      <c r="C19" s="4" t="s">
        <v>87</v>
      </c>
      <c r="D19" s="36"/>
      <c r="E19" s="36"/>
      <c r="F19" s="36"/>
      <c r="G19" s="40"/>
      <c r="H19" s="33"/>
    </row>
    <row r="20" spans="1:21" ht="23.25">
      <c r="A20" s="34">
        <v>4</v>
      </c>
      <c r="B20" s="34">
        <v>10101003002</v>
      </c>
      <c r="C20" s="6" t="s">
        <v>88</v>
      </c>
      <c r="D20" s="34" t="s">
        <v>33</v>
      </c>
      <c r="E20" s="34">
        <v>186.85</v>
      </c>
      <c r="F20" s="34">
        <v>323.7</v>
      </c>
      <c r="G20" s="38">
        <v>60483.02</v>
      </c>
      <c r="H20" s="31"/>
    </row>
    <row r="21" spans="1:21" ht="57">
      <c r="A21" s="35"/>
      <c r="B21" s="35"/>
      <c r="C21" s="6" t="s">
        <v>89</v>
      </c>
      <c r="D21" s="35"/>
      <c r="E21" s="35"/>
      <c r="F21" s="35"/>
      <c r="G21" s="39"/>
      <c r="H21" s="32"/>
    </row>
    <row r="22" spans="1:21" ht="34.5">
      <c r="A22" s="35"/>
      <c r="B22" s="35"/>
      <c r="C22" s="6" t="s">
        <v>90</v>
      </c>
      <c r="D22" s="35"/>
      <c r="E22" s="35"/>
      <c r="F22" s="35"/>
      <c r="G22" s="39"/>
      <c r="H22" s="32"/>
    </row>
    <row r="23" spans="1:21" ht="34.5">
      <c r="A23" s="35"/>
      <c r="B23" s="35"/>
      <c r="C23" s="6" t="s">
        <v>91</v>
      </c>
      <c r="D23" s="35"/>
      <c r="E23" s="35"/>
      <c r="F23" s="35"/>
      <c r="G23" s="39"/>
      <c r="H23" s="32"/>
    </row>
    <row r="24" spans="1:21" ht="15" thickBot="1">
      <c r="A24" s="36"/>
      <c r="B24" s="36"/>
      <c r="C24" s="4" t="s">
        <v>92</v>
      </c>
      <c r="D24" s="36"/>
      <c r="E24" s="36"/>
      <c r="F24" s="36"/>
      <c r="G24" s="40"/>
      <c r="H24" s="33"/>
    </row>
    <row r="25" spans="1:21" ht="23.25">
      <c r="A25" s="34">
        <v>5</v>
      </c>
      <c r="B25" s="34">
        <v>10103001001</v>
      </c>
      <c r="C25" s="6" t="s">
        <v>93</v>
      </c>
      <c r="D25" s="34" t="s">
        <v>33</v>
      </c>
      <c r="E25" s="34">
        <v>391.85</v>
      </c>
      <c r="F25" s="34">
        <v>10.51</v>
      </c>
      <c r="G25" s="38">
        <v>4118.34</v>
      </c>
      <c r="H25" s="83"/>
    </row>
    <row r="26" spans="1:21" ht="90.75">
      <c r="A26" s="35"/>
      <c r="B26" s="35"/>
      <c r="C26" s="6" t="s">
        <v>94</v>
      </c>
      <c r="D26" s="35"/>
      <c r="E26" s="35"/>
      <c r="F26" s="35"/>
      <c r="G26" s="39"/>
      <c r="H26" s="56"/>
    </row>
    <row r="27" spans="1:21" ht="23.25">
      <c r="A27" s="35"/>
      <c r="B27" s="35"/>
      <c r="C27" s="6" t="s">
        <v>95</v>
      </c>
      <c r="D27" s="35"/>
      <c r="E27" s="35"/>
      <c r="F27" s="35"/>
      <c r="G27" s="39"/>
      <c r="H27" s="56"/>
    </row>
    <row r="28" spans="1:21" ht="24" thickBot="1">
      <c r="A28" s="36"/>
      <c r="B28" s="36"/>
      <c r="C28" s="4" t="s">
        <v>78</v>
      </c>
      <c r="D28" s="36"/>
      <c r="E28" s="36"/>
      <c r="F28" s="36"/>
      <c r="G28" s="40"/>
      <c r="H28" s="57"/>
    </row>
    <row r="29" spans="1:21" ht="24" thickBot="1">
      <c r="A29" s="3"/>
      <c r="B29" s="12" t="s">
        <v>96</v>
      </c>
      <c r="C29" s="13" t="s">
        <v>97</v>
      </c>
      <c r="D29" s="13"/>
      <c r="E29" s="12"/>
      <c r="F29" s="12"/>
      <c r="G29" s="14"/>
      <c r="H29" s="15"/>
    </row>
    <row r="30" spans="1:21" ht="23.25">
      <c r="A30" s="34">
        <v>1</v>
      </c>
      <c r="B30" s="37">
        <v>10201003001</v>
      </c>
      <c r="C30" s="6" t="s">
        <v>98</v>
      </c>
      <c r="D30" s="37" t="s">
        <v>33</v>
      </c>
      <c r="E30" s="37">
        <v>88.49</v>
      </c>
      <c r="F30" s="37">
        <v>359.87</v>
      </c>
      <c r="G30" s="82">
        <v>31844.9</v>
      </c>
      <c r="H30" s="73"/>
    </row>
    <row r="31" spans="1:21" ht="57">
      <c r="A31" s="35"/>
      <c r="B31" s="35"/>
      <c r="C31" s="6" t="s">
        <v>99</v>
      </c>
      <c r="D31" s="35"/>
      <c r="E31" s="35"/>
      <c r="F31" s="35"/>
      <c r="G31" s="78"/>
      <c r="H31" s="74"/>
    </row>
    <row r="32" spans="1:21" ht="69" thickBot="1">
      <c r="A32" s="36"/>
      <c r="B32" s="36"/>
      <c r="C32" s="4" t="s">
        <v>100</v>
      </c>
      <c r="D32" s="36"/>
      <c r="E32" s="36"/>
      <c r="F32" s="36"/>
      <c r="G32" s="79"/>
      <c r="H32" s="75"/>
    </row>
    <row r="33" spans="1:8" ht="23.25">
      <c r="A33" s="34">
        <v>2</v>
      </c>
      <c r="B33" s="34">
        <v>10201003002</v>
      </c>
      <c r="C33" s="6" t="s">
        <v>101</v>
      </c>
      <c r="D33" s="34" t="s">
        <v>33</v>
      </c>
      <c r="E33" s="34">
        <v>2701.12</v>
      </c>
      <c r="F33" s="34">
        <v>334.71</v>
      </c>
      <c r="G33" s="77">
        <v>904091.88</v>
      </c>
      <c r="H33" s="80"/>
    </row>
    <row r="34" spans="1:8" ht="57">
      <c r="A34" s="35"/>
      <c r="B34" s="35"/>
      <c r="C34" s="6" t="s">
        <v>102</v>
      </c>
      <c r="D34" s="35"/>
      <c r="E34" s="35"/>
      <c r="F34" s="35"/>
      <c r="G34" s="78"/>
      <c r="H34" s="74"/>
    </row>
    <row r="35" spans="1:8" ht="45.75">
      <c r="A35" s="35"/>
      <c r="B35" s="35"/>
      <c r="C35" s="6" t="s">
        <v>103</v>
      </c>
      <c r="D35" s="35"/>
      <c r="E35" s="35"/>
      <c r="F35" s="35"/>
      <c r="G35" s="78"/>
      <c r="H35" s="74"/>
    </row>
    <row r="36" spans="1:8" ht="46.5" thickBot="1">
      <c r="A36" s="36"/>
      <c r="B36" s="36"/>
      <c r="C36" s="6" t="s">
        <v>104</v>
      </c>
      <c r="D36" s="76"/>
      <c r="E36" s="76"/>
      <c r="F36" s="76"/>
      <c r="G36" s="79"/>
      <c r="H36" s="81"/>
    </row>
    <row r="37" spans="1:8" ht="15" thickBot="1">
      <c r="A37" s="3"/>
      <c r="B37" s="12" t="s">
        <v>105</v>
      </c>
      <c r="C37" s="16" t="s">
        <v>106</v>
      </c>
      <c r="D37" s="16"/>
      <c r="E37" s="17"/>
      <c r="F37" s="17"/>
      <c r="G37" s="14"/>
      <c r="H37" s="18"/>
    </row>
    <row r="38" spans="1:8">
      <c r="A38" s="34">
        <v>1</v>
      </c>
      <c r="B38" s="41">
        <v>10301001003</v>
      </c>
      <c r="C38" s="19" t="s">
        <v>107</v>
      </c>
      <c r="D38" s="44" t="s">
        <v>33</v>
      </c>
      <c r="E38" s="44">
        <v>229.32</v>
      </c>
      <c r="F38" s="52">
        <v>378.71</v>
      </c>
      <c r="G38" s="38">
        <v>86845.78</v>
      </c>
      <c r="H38" s="55"/>
    </row>
    <row r="39" spans="1:8" ht="34.5">
      <c r="A39" s="35"/>
      <c r="B39" s="42"/>
      <c r="C39" s="19" t="s">
        <v>108</v>
      </c>
      <c r="D39" s="45"/>
      <c r="E39" s="45"/>
      <c r="F39" s="53"/>
      <c r="G39" s="39"/>
      <c r="H39" s="56"/>
    </row>
    <row r="40" spans="1:8" ht="24" thickBot="1">
      <c r="A40" s="36"/>
      <c r="B40" s="43"/>
      <c r="C40" s="13" t="s">
        <v>109</v>
      </c>
      <c r="D40" s="46"/>
      <c r="E40" s="46"/>
      <c r="F40" s="54"/>
      <c r="G40" s="40"/>
      <c r="H40" s="57"/>
    </row>
    <row r="41" spans="1:8" ht="35.25" thickBot="1">
      <c r="A41" s="3"/>
      <c r="B41" s="12" t="s">
        <v>110</v>
      </c>
      <c r="C41" s="13" t="s">
        <v>111</v>
      </c>
      <c r="D41" s="13"/>
      <c r="E41" s="12"/>
      <c r="F41" s="12"/>
      <c r="G41" s="14"/>
      <c r="H41" s="15"/>
    </row>
    <row r="42" spans="1:8">
      <c r="A42" s="34">
        <v>1</v>
      </c>
      <c r="B42" s="41">
        <v>10401002001</v>
      </c>
      <c r="C42" s="19" t="s">
        <v>112</v>
      </c>
      <c r="D42" s="44" t="s">
        <v>33</v>
      </c>
      <c r="E42" s="44">
        <v>120.24</v>
      </c>
      <c r="F42" s="52">
        <v>302.91000000000003</v>
      </c>
      <c r="G42" s="38">
        <v>36421.9</v>
      </c>
      <c r="H42" s="55"/>
    </row>
    <row r="43" spans="1:8" ht="23.25">
      <c r="A43" s="35"/>
      <c r="B43" s="42"/>
      <c r="C43" s="19" t="s">
        <v>113</v>
      </c>
      <c r="D43" s="45"/>
      <c r="E43" s="45"/>
      <c r="F43" s="53"/>
      <c r="G43" s="39"/>
      <c r="H43" s="56"/>
    </row>
    <row r="44" spans="1:8" ht="57">
      <c r="A44" s="35"/>
      <c r="B44" s="42"/>
      <c r="C44" s="19" t="s">
        <v>114</v>
      </c>
      <c r="D44" s="45"/>
      <c r="E44" s="45"/>
      <c r="F44" s="53"/>
      <c r="G44" s="39"/>
      <c r="H44" s="56"/>
    </row>
    <row r="45" spans="1:8" ht="24" thickBot="1">
      <c r="A45" s="36"/>
      <c r="B45" s="43"/>
      <c r="C45" s="13" t="s">
        <v>115</v>
      </c>
      <c r="D45" s="46"/>
      <c r="E45" s="46"/>
      <c r="F45" s="54"/>
      <c r="G45" s="40"/>
      <c r="H45" s="57"/>
    </row>
    <row r="46" spans="1:8">
      <c r="A46" s="34">
        <v>2</v>
      </c>
      <c r="B46" s="41">
        <v>10401005001</v>
      </c>
      <c r="C46" s="19" t="s">
        <v>116</v>
      </c>
      <c r="D46" s="44" t="s">
        <v>33</v>
      </c>
      <c r="E46" s="44">
        <v>346.5</v>
      </c>
      <c r="F46" s="60">
        <v>326.51</v>
      </c>
      <c r="G46" s="38">
        <v>113135.72</v>
      </c>
      <c r="H46" s="55"/>
    </row>
    <row r="47" spans="1:8" ht="23.25">
      <c r="A47" s="35"/>
      <c r="B47" s="42"/>
      <c r="C47" s="19" t="s">
        <v>117</v>
      </c>
      <c r="D47" s="45"/>
      <c r="E47" s="45"/>
      <c r="F47" s="53"/>
      <c r="G47" s="39"/>
      <c r="H47" s="56"/>
    </row>
    <row r="48" spans="1:8" ht="57">
      <c r="A48" s="35"/>
      <c r="B48" s="42"/>
      <c r="C48" s="19" t="s">
        <v>114</v>
      </c>
      <c r="D48" s="45"/>
      <c r="E48" s="45"/>
      <c r="F48" s="53"/>
      <c r="G48" s="39"/>
      <c r="H48" s="56"/>
    </row>
    <row r="49" spans="1:9" ht="24" thickBot="1">
      <c r="A49" s="36"/>
      <c r="B49" s="43"/>
      <c r="C49" s="13" t="s">
        <v>115</v>
      </c>
      <c r="D49" s="46"/>
      <c r="E49" s="46"/>
      <c r="F49" s="54"/>
      <c r="G49" s="40"/>
      <c r="H49" s="57"/>
    </row>
    <row r="50" spans="1:9" ht="23.25">
      <c r="A50" s="34">
        <v>3</v>
      </c>
      <c r="B50" s="41">
        <v>10402001001</v>
      </c>
      <c r="C50" s="19" t="s">
        <v>118</v>
      </c>
      <c r="D50" s="44" t="s">
        <v>33</v>
      </c>
      <c r="E50" s="44">
        <v>12.59</v>
      </c>
      <c r="F50" s="60">
        <v>428.81</v>
      </c>
      <c r="G50" s="38">
        <v>5398.72</v>
      </c>
      <c r="H50" s="55"/>
    </row>
    <row r="51" spans="1:9" ht="23.25">
      <c r="A51" s="35"/>
      <c r="B51" s="42"/>
      <c r="C51" s="19" t="s">
        <v>119</v>
      </c>
      <c r="D51" s="45"/>
      <c r="E51" s="45"/>
      <c r="F51" s="53"/>
      <c r="G51" s="39"/>
      <c r="H51" s="56"/>
    </row>
    <row r="52" spans="1:9" ht="57">
      <c r="A52" s="35"/>
      <c r="B52" s="42"/>
      <c r="C52" s="19" t="s">
        <v>114</v>
      </c>
      <c r="D52" s="45"/>
      <c r="E52" s="45"/>
      <c r="F52" s="53"/>
      <c r="G52" s="39"/>
      <c r="H52" s="56"/>
    </row>
    <row r="53" spans="1:9" ht="24" thickBot="1">
      <c r="A53" s="36"/>
      <c r="B53" s="43"/>
      <c r="C53" s="13" t="s">
        <v>115</v>
      </c>
      <c r="D53" s="46"/>
      <c r="E53" s="46"/>
      <c r="F53" s="54"/>
      <c r="G53" s="40"/>
      <c r="H53" s="57"/>
    </row>
    <row r="54" spans="1:9">
      <c r="A54" s="34">
        <v>4</v>
      </c>
      <c r="B54" s="41">
        <v>10403001001</v>
      </c>
      <c r="C54" s="19" t="s">
        <v>120</v>
      </c>
      <c r="D54" s="44" t="s">
        <v>33</v>
      </c>
      <c r="E54" s="44">
        <v>530.84</v>
      </c>
      <c r="F54" s="60">
        <v>332.66</v>
      </c>
      <c r="G54" s="38">
        <v>176589.23</v>
      </c>
      <c r="H54" s="55"/>
    </row>
    <row r="55" spans="1:9" ht="23.25">
      <c r="A55" s="35"/>
      <c r="B55" s="42"/>
      <c r="C55" s="19" t="s">
        <v>121</v>
      </c>
      <c r="D55" s="45"/>
      <c r="E55" s="45"/>
      <c r="F55" s="53"/>
      <c r="G55" s="39"/>
      <c r="H55" s="56"/>
    </row>
    <row r="56" spans="1:9" ht="57">
      <c r="A56" s="35"/>
      <c r="B56" s="42"/>
      <c r="C56" s="19" t="s">
        <v>114</v>
      </c>
      <c r="D56" s="45"/>
      <c r="E56" s="45"/>
      <c r="F56" s="53"/>
      <c r="G56" s="39"/>
      <c r="H56" s="56"/>
    </row>
    <row r="57" spans="1:9" ht="24" thickBot="1">
      <c r="A57" s="36"/>
      <c r="B57" s="43"/>
      <c r="C57" s="13" t="s">
        <v>115</v>
      </c>
      <c r="D57" s="46"/>
      <c r="E57" s="46"/>
      <c r="F57" s="54"/>
      <c r="G57" s="40"/>
      <c r="H57" s="57"/>
    </row>
    <row r="58" spans="1:9" ht="23.25">
      <c r="A58" s="34">
        <v>5</v>
      </c>
      <c r="B58" s="41">
        <v>10416001001</v>
      </c>
      <c r="C58" s="19" t="s">
        <v>122</v>
      </c>
      <c r="D58" s="44" t="s">
        <v>52</v>
      </c>
      <c r="E58" s="44">
        <v>126.11199999999999</v>
      </c>
      <c r="F58" s="60">
        <v>5947.93</v>
      </c>
      <c r="G58" s="38">
        <v>155312.35</v>
      </c>
      <c r="H58" s="55"/>
    </row>
    <row r="59" spans="1:9" ht="23.25">
      <c r="A59" s="35"/>
      <c r="B59" s="42"/>
      <c r="C59" s="19" t="s">
        <v>123</v>
      </c>
      <c r="D59" s="45"/>
      <c r="E59" s="45"/>
      <c r="F59" s="53"/>
      <c r="G59" s="39"/>
      <c r="H59" s="56"/>
    </row>
    <row r="60" spans="1:9" ht="68.25">
      <c r="A60" s="35"/>
      <c r="B60" s="42"/>
      <c r="C60" s="19" t="s">
        <v>124</v>
      </c>
      <c r="D60" s="45"/>
      <c r="E60" s="45"/>
      <c r="F60" s="53"/>
      <c r="G60" s="39"/>
      <c r="H60" s="56"/>
      <c r="I60">
        <f>E58+E62+E65+E68</f>
        <v>409.48099999999999</v>
      </c>
    </row>
    <row r="61" spans="1:9" ht="35.25" thickBot="1">
      <c r="A61" s="36"/>
      <c r="B61" s="43"/>
      <c r="C61" s="13" t="s">
        <v>125</v>
      </c>
      <c r="D61" s="46"/>
      <c r="E61" s="46"/>
      <c r="F61" s="54"/>
      <c r="G61" s="40"/>
      <c r="H61" s="57"/>
    </row>
    <row r="62" spans="1:9" ht="34.5">
      <c r="A62" s="34">
        <v>6</v>
      </c>
      <c r="B62" s="41">
        <v>10416001002</v>
      </c>
      <c r="C62" s="19" t="s">
        <v>126</v>
      </c>
      <c r="D62" s="44" t="s">
        <v>52</v>
      </c>
      <c r="E62" s="44">
        <v>8.1690000000000005</v>
      </c>
      <c r="F62" s="60">
        <v>4955.9799999999996</v>
      </c>
      <c r="G62" s="38">
        <v>40485.4</v>
      </c>
      <c r="H62" s="55"/>
    </row>
    <row r="63" spans="1:9" ht="79.5">
      <c r="A63" s="35"/>
      <c r="B63" s="42"/>
      <c r="C63" s="19" t="s">
        <v>127</v>
      </c>
      <c r="D63" s="45"/>
      <c r="E63" s="45"/>
      <c r="F63" s="53"/>
      <c r="G63" s="39"/>
      <c r="H63" s="56"/>
    </row>
    <row r="64" spans="1:9" ht="35.25" thickBot="1">
      <c r="A64" s="36"/>
      <c r="B64" s="43"/>
      <c r="C64" s="13" t="s">
        <v>125</v>
      </c>
      <c r="D64" s="46"/>
      <c r="E64" s="46"/>
      <c r="F64" s="54"/>
      <c r="G64" s="40"/>
      <c r="H64" s="57"/>
    </row>
    <row r="65" spans="1:11" ht="34.5">
      <c r="A65" s="34">
        <v>7</v>
      </c>
      <c r="B65" s="41">
        <v>10416001002</v>
      </c>
      <c r="C65" s="19" t="s">
        <v>126</v>
      </c>
      <c r="D65" s="44" t="s">
        <v>52</v>
      </c>
      <c r="E65" s="44">
        <v>180.26400000000001</v>
      </c>
      <c r="F65" s="60">
        <v>4860.8</v>
      </c>
      <c r="G65" s="38">
        <v>390147.25</v>
      </c>
      <c r="H65" s="55"/>
    </row>
    <row r="66" spans="1:11" ht="79.5">
      <c r="A66" s="35"/>
      <c r="B66" s="42"/>
      <c r="C66" s="19" t="s">
        <v>128</v>
      </c>
      <c r="D66" s="45"/>
      <c r="E66" s="45"/>
      <c r="F66" s="53"/>
      <c r="G66" s="39"/>
      <c r="H66" s="56"/>
    </row>
    <row r="67" spans="1:11" ht="35.25" thickBot="1">
      <c r="A67" s="36"/>
      <c r="B67" s="43"/>
      <c r="C67" s="13" t="s">
        <v>125</v>
      </c>
      <c r="D67" s="46"/>
      <c r="E67" s="46"/>
      <c r="F67" s="54"/>
      <c r="G67" s="40"/>
      <c r="H67" s="57"/>
    </row>
    <row r="68" spans="1:11">
      <c r="A68" s="34">
        <v>8</v>
      </c>
      <c r="B68" s="41">
        <v>10416004001</v>
      </c>
      <c r="C68" s="19" t="s">
        <v>129</v>
      </c>
      <c r="D68" s="44" t="s">
        <v>52</v>
      </c>
      <c r="E68" s="44">
        <v>94.936000000000007</v>
      </c>
      <c r="F68" s="60">
        <v>4973.87</v>
      </c>
      <c r="G68" s="38">
        <v>472199.32</v>
      </c>
      <c r="H68" s="55"/>
    </row>
    <row r="69" spans="1:11" ht="23.25">
      <c r="A69" s="35"/>
      <c r="B69" s="42"/>
      <c r="C69" s="19" t="s">
        <v>130</v>
      </c>
      <c r="D69" s="45"/>
      <c r="E69" s="45"/>
      <c r="F69" s="53"/>
      <c r="G69" s="39"/>
      <c r="H69" s="56"/>
    </row>
    <row r="70" spans="1:11" ht="35.25" thickBot="1">
      <c r="A70" s="36"/>
      <c r="B70" s="43"/>
      <c r="C70" s="13" t="s">
        <v>125</v>
      </c>
      <c r="D70" s="46"/>
      <c r="E70" s="46"/>
      <c r="F70" s="54"/>
      <c r="G70" s="40"/>
      <c r="H70" s="57"/>
    </row>
    <row r="71" spans="1:11" ht="15" thickBot="1">
      <c r="A71" s="28" t="s">
        <v>131</v>
      </c>
      <c r="B71" s="29"/>
      <c r="C71" s="29"/>
      <c r="D71" s="29"/>
      <c r="E71" s="29"/>
      <c r="F71" s="30"/>
      <c r="G71" s="20">
        <v>2981934.32</v>
      </c>
      <c r="H71" s="21"/>
    </row>
    <row r="77" spans="1:11" ht="15" thickBot="1"/>
    <row r="78" spans="1:11" ht="15" thickBot="1">
      <c r="A78" s="34" t="s">
        <v>62</v>
      </c>
      <c r="B78" s="34" t="s">
        <v>63</v>
      </c>
      <c r="C78" s="34" t="s">
        <v>64</v>
      </c>
      <c r="D78" s="34" t="s">
        <v>65</v>
      </c>
      <c r="E78" s="34" t="s">
        <v>66</v>
      </c>
      <c r="F78" s="70" t="s">
        <v>67</v>
      </c>
      <c r="G78" s="71"/>
      <c r="H78" s="72" t="s">
        <v>68</v>
      </c>
      <c r="J78" t="s">
        <v>132</v>
      </c>
    </row>
    <row r="79" spans="1:11" ht="15" thickBot="1">
      <c r="A79" s="36"/>
      <c r="B79" s="36"/>
      <c r="C79" s="36"/>
      <c r="D79" s="36"/>
      <c r="E79" s="36"/>
      <c r="F79" s="1" t="s">
        <v>69</v>
      </c>
      <c r="G79" s="2" t="s">
        <v>70</v>
      </c>
      <c r="H79" s="30"/>
      <c r="J79" t="s">
        <v>133</v>
      </c>
      <c r="K79">
        <f>SUM(E103*0.1)+E111+E115+E119+E127+E131+E135+E139+E143+E148+E152+E156+E160+E164+E174*0.15+E180*0.1+E186</f>
        <v>3763.819</v>
      </c>
    </row>
    <row r="80" spans="1:11" ht="15" thickBot="1">
      <c r="A80" s="3"/>
      <c r="B80" s="1" t="s">
        <v>71</v>
      </c>
      <c r="C80" s="4" t="s">
        <v>72</v>
      </c>
      <c r="D80" s="1"/>
      <c r="E80" s="1"/>
      <c r="F80" s="1"/>
      <c r="G80" s="5"/>
      <c r="H80" s="6"/>
    </row>
    <row r="81" spans="1:12" ht="24" thickBot="1">
      <c r="A81" s="7"/>
      <c r="B81" s="8" t="s">
        <v>73</v>
      </c>
      <c r="C81" s="6" t="s">
        <v>74</v>
      </c>
      <c r="D81" s="6"/>
      <c r="E81" s="8"/>
      <c r="F81" s="8"/>
      <c r="G81" s="9"/>
      <c r="H81" s="10"/>
      <c r="J81" t="s">
        <v>134</v>
      </c>
      <c r="K81">
        <f>E192+E196+E199+E203+E206+E209</f>
        <v>450.37599999999992</v>
      </c>
      <c r="L81" t="s">
        <v>53</v>
      </c>
    </row>
    <row r="82" spans="1:12" ht="23.25">
      <c r="A82" s="34">
        <v>1</v>
      </c>
      <c r="B82" s="41">
        <v>10103001002</v>
      </c>
      <c r="C82" s="22" t="s">
        <v>136</v>
      </c>
      <c r="D82" s="44" t="s">
        <v>33</v>
      </c>
      <c r="E82" s="44">
        <v>5.24</v>
      </c>
      <c r="F82" s="60">
        <v>12.37</v>
      </c>
      <c r="G82" s="38">
        <v>64.84</v>
      </c>
      <c r="H82" s="55"/>
    </row>
    <row r="83" spans="1:12">
      <c r="A83" s="35"/>
      <c r="B83" s="42"/>
      <c r="C83" s="19" t="s">
        <v>137</v>
      </c>
      <c r="D83" s="45"/>
      <c r="E83" s="45"/>
      <c r="F83" s="53"/>
      <c r="G83" s="39"/>
      <c r="H83" s="56"/>
      <c r="J83" t="s">
        <v>135</v>
      </c>
      <c r="K83">
        <f>E86*0.02+E93+E95+E168*0.02+E180*0.02+E224+0.02+E229*0.2+E233*0.1</f>
        <v>828.65599999999995</v>
      </c>
      <c r="L83" t="s">
        <v>58</v>
      </c>
    </row>
    <row r="84" spans="1:12" ht="15" thickBot="1">
      <c r="A84" s="36"/>
      <c r="B84" s="43"/>
      <c r="C84" s="13" t="s">
        <v>138</v>
      </c>
      <c r="D84" s="46"/>
      <c r="E84" s="46"/>
      <c r="F84" s="54"/>
      <c r="G84" s="40"/>
      <c r="H84" s="57"/>
    </row>
    <row r="85" spans="1:12" ht="15" thickBot="1">
      <c r="A85" s="3"/>
      <c r="B85" s="12" t="s">
        <v>105</v>
      </c>
      <c r="C85" s="13" t="s">
        <v>106</v>
      </c>
      <c r="D85" s="13"/>
      <c r="E85" s="12"/>
      <c r="F85" s="12"/>
      <c r="G85" s="14"/>
      <c r="H85" s="15"/>
      <c r="J85" t="s">
        <v>260</v>
      </c>
      <c r="K85">
        <f>E90+E90+E97+E100</f>
        <v>4755.92</v>
      </c>
      <c r="L85" t="s">
        <v>58</v>
      </c>
    </row>
    <row r="86" spans="1:12">
      <c r="A86" s="34">
        <v>1</v>
      </c>
      <c r="B86" s="41">
        <v>10302006001</v>
      </c>
      <c r="C86" s="19" t="s">
        <v>139</v>
      </c>
      <c r="D86" s="44" t="s">
        <v>4</v>
      </c>
      <c r="E86" s="44">
        <v>9.68</v>
      </c>
      <c r="F86" s="52">
        <v>170.92</v>
      </c>
      <c r="G86" s="38">
        <v>1654.51</v>
      </c>
      <c r="H86" s="55"/>
    </row>
    <row r="87" spans="1:12" ht="34.5">
      <c r="A87" s="35"/>
      <c r="B87" s="42"/>
      <c r="C87" s="19" t="s">
        <v>140</v>
      </c>
      <c r="D87" s="45"/>
      <c r="E87" s="45"/>
      <c r="F87" s="53"/>
      <c r="G87" s="39"/>
      <c r="H87" s="56"/>
      <c r="J87" t="s">
        <v>261</v>
      </c>
      <c r="K87">
        <f>E93+E95</f>
        <v>72.489999999999995</v>
      </c>
      <c r="L87" t="s">
        <v>58</v>
      </c>
    </row>
    <row r="88" spans="1:12" ht="34.5">
      <c r="A88" s="35"/>
      <c r="B88" s="42"/>
      <c r="C88" s="19" t="s">
        <v>141</v>
      </c>
      <c r="D88" s="45"/>
      <c r="E88" s="45"/>
      <c r="F88" s="53"/>
      <c r="G88" s="39"/>
      <c r="H88" s="56"/>
    </row>
    <row r="89" spans="1:12" ht="46.5" thickBot="1">
      <c r="A89" s="36"/>
      <c r="B89" s="43"/>
      <c r="C89" s="13" t="s">
        <v>142</v>
      </c>
      <c r="D89" s="46"/>
      <c r="E89" s="46"/>
      <c r="F89" s="54"/>
      <c r="G89" s="40"/>
      <c r="H89" s="57"/>
      <c r="J89" t="s">
        <v>494</v>
      </c>
      <c r="K89">
        <f>E215*0.002+E218*0.002+E222*0.002</f>
        <v>14.453840000000001</v>
      </c>
      <c r="L89" t="s">
        <v>495</v>
      </c>
    </row>
    <row r="90" spans="1:12">
      <c r="A90" s="34">
        <v>2</v>
      </c>
      <c r="B90" s="41">
        <v>10302006004</v>
      </c>
      <c r="C90" s="19" t="s">
        <v>143</v>
      </c>
      <c r="D90" s="44" t="s">
        <v>33</v>
      </c>
      <c r="E90" s="44">
        <v>6.18</v>
      </c>
      <c r="F90" s="60">
        <v>335.35</v>
      </c>
      <c r="G90" s="38">
        <v>2072.46</v>
      </c>
      <c r="H90" s="55"/>
    </row>
    <row r="91" spans="1:12" ht="57">
      <c r="A91" s="35"/>
      <c r="B91" s="42"/>
      <c r="C91" s="19" t="s">
        <v>144</v>
      </c>
      <c r="D91" s="45"/>
      <c r="E91" s="45"/>
      <c r="F91" s="53"/>
      <c r="G91" s="39"/>
      <c r="H91" s="56"/>
      <c r="J91" t="s">
        <v>496</v>
      </c>
      <c r="K91">
        <f>E258*0.04</f>
        <v>165.96880000000002</v>
      </c>
      <c r="L91" t="s">
        <v>495</v>
      </c>
    </row>
    <row r="92" spans="1:12" ht="24" thickBot="1">
      <c r="A92" s="36"/>
      <c r="B92" s="43"/>
      <c r="C92" s="13" t="s">
        <v>145</v>
      </c>
      <c r="D92" s="46"/>
      <c r="E92" s="46"/>
      <c r="F92" s="54"/>
      <c r="G92" s="40"/>
      <c r="H92" s="57"/>
    </row>
    <row r="93" spans="1:12">
      <c r="A93" s="34">
        <v>3</v>
      </c>
      <c r="B93" s="41">
        <v>10302006001</v>
      </c>
      <c r="C93" s="19" t="s">
        <v>146</v>
      </c>
      <c r="D93" s="44" t="s">
        <v>33</v>
      </c>
      <c r="E93" s="44">
        <v>66.599999999999994</v>
      </c>
      <c r="F93" s="60">
        <v>403.98</v>
      </c>
      <c r="G93" s="38">
        <v>26905.07</v>
      </c>
      <c r="H93" s="55"/>
    </row>
    <row r="94" spans="1:12" ht="35.25" thickBot="1">
      <c r="A94" s="36"/>
      <c r="B94" s="43"/>
      <c r="C94" s="13" t="s">
        <v>147</v>
      </c>
      <c r="D94" s="46"/>
      <c r="E94" s="46"/>
      <c r="F94" s="54"/>
      <c r="G94" s="40"/>
      <c r="H94" s="57"/>
    </row>
    <row r="95" spans="1:12">
      <c r="A95" s="34">
        <v>4</v>
      </c>
      <c r="B95" s="41">
        <v>10302006007</v>
      </c>
      <c r="C95" s="19" t="s">
        <v>148</v>
      </c>
      <c r="D95" s="44" t="s">
        <v>33</v>
      </c>
      <c r="E95" s="44">
        <v>5.89</v>
      </c>
      <c r="F95" s="60">
        <v>488.2</v>
      </c>
      <c r="G95" s="38">
        <v>2875.5</v>
      </c>
      <c r="H95" s="55"/>
    </row>
    <row r="96" spans="1:12" ht="35.25" thickBot="1">
      <c r="A96" s="36"/>
      <c r="B96" s="43"/>
      <c r="C96" s="13" t="s">
        <v>149</v>
      </c>
      <c r="D96" s="46"/>
      <c r="E96" s="46"/>
      <c r="F96" s="54"/>
      <c r="G96" s="40"/>
      <c r="H96" s="57"/>
    </row>
    <row r="97" spans="1:8">
      <c r="A97" s="34">
        <v>5</v>
      </c>
      <c r="B97" s="41">
        <v>10304001005</v>
      </c>
      <c r="C97" s="19" t="s">
        <v>150</v>
      </c>
      <c r="D97" s="44" t="s">
        <v>33</v>
      </c>
      <c r="E97" s="44">
        <v>2157.86</v>
      </c>
      <c r="F97" s="60">
        <v>321.08</v>
      </c>
      <c r="G97" s="38">
        <v>692845.69</v>
      </c>
      <c r="H97" s="55"/>
    </row>
    <row r="98" spans="1:8" ht="68.25">
      <c r="A98" s="35"/>
      <c r="B98" s="42"/>
      <c r="C98" s="19" t="s">
        <v>151</v>
      </c>
      <c r="D98" s="45"/>
      <c r="E98" s="45"/>
      <c r="F98" s="53"/>
      <c r="G98" s="39"/>
      <c r="H98" s="56"/>
    </row>
    <row r="99" spans="1:8" ht="24" thickBot="1">
      <c r="A99" s="36"/>
      <c r="B99" s="43"/>
      <c r="C99" s="13" t="s">
        <v>145</v>
      </c>
      <c r="D99" s="46"/>
      <c r="E99" s="46"/>
      <c r="F99" s="54"/>
      <c r="G99" s="40"/>
      <c r="H99" s="57"/>
    </row>
    <row r="100" spans="1:8">
      <c r="A100" s="34">
        <v>6</v>
      </c>
      <c r="B100" s="41">
        <v>10304001005</v>
      </c>
      <c r="C100" s="19" t="s">
        <v>150</v>
      </c>
      <c r="D100" s="44" t="s">
        <v>33</v>
      </c>
      <c r="E100" s="44">
        <v>2585.6999999999998</v>
      </c>
      <c r="F100" s="60">
        <v>321.08</v>
      </c>
      <c r="G100" s="38">
        <v>830216.56</v>
      </c>
      <c r="H100" s="55"/>
    </row>
    <row r="101" spans="1:8" ht="68.25">
      <c r="A101" s="35"/>
      <c r="B101" s="42"/>
      <c r="C101" s="19" t="s">
        <v>152</v>
      </c>
      <c r="D101" s="45"/>
      <c r="E101" s="45"/>
      <c r="F101" s="53"/>
      <c r="G101" s="39"/>
      <c r="H101" s="56"/>
    </row>
    <row r="102" spans="1:8" ht="24" thickBot="1">
      <c r="A102" s="36"/>
      <c r="B102" s="43"/>
      <c r="C102" s="13" t="s">
        <v>145</v>
      </c>
      <c r="D102" s="46"/>
      <c r="E102" s="46"/>
      <c r="F102" s="54"/>
      <c r="G102" s="40"/>
      <c r="H102" s="57"/>
    </row>
    <row r="103" spans="1:8" ht="23.25">
      <c r="A103" s="34">
        <v>7</v>
      </c>
      <c r="B103" s="41">
        <v>10306001002</v>
      </c>
      <c r="C103" s="19" t="s">
        <v>153</v>
      </c>
      <c r="D103" s="44" t="s">
        <v>4</v>
      </c>
      <c r="E103" s="44">
        <v>3876.56</v>
      </c>
      <c r="F103" s="60">
        <v>55.82</v>
      </c>
      <c r="G103" s="38">
        <v>216389.58</v>
      </c>
      <c r="H103" s="55"/>
    </row>
    <row r="104" spans="1:8" ht="23.25">
      <c r="A104" s="35"/>
      <c r="B104" s="42"/>
      <c r="C104" s="19" t="s">
        <v>154</v>
      </c>
      <c r="D104" s="45"/>
      <c r="E104" s="45"/>
      <c r="F104" s="53"/>
      <c r="G104" s="39"/>
      <c r="H104" s="56"/>
    </row>
    <row r="105" spans="1:8" ht="34.5">
      <c r="A105" s="35"/>
      <c r="B105" s="42"/>
      <c r="C105" s="19" t="s">
        <v>155</v>
      </c>
      <c r="D105" s="45"/>
      <c r="E105" s="45"/>
      <c r="F105" s="53"/>
      <c r="G105" s="39"/>
      <c r="H105" s="56"/>
    </row>
    <row r="106" spans="1:8" ht="23.25">
      <c r="A106" s="35"/>
      <c r="B106" s="42"/>
      <c r="C106" s="19" t="s">
        <v>156</v>
      </c>
      <c r="D106" s="45"/>
      <c r="E106" s="45"/>
      <c r="F106" s="53"/>
      <c r="G106" s="39"/>
      <c r="H106" s="56"/>
    </row>
    <row r="107" spans="1:8" ht="57">
      <c r="A107" s="35"/>
      <c r="B107" s="42"/>
      <c r="C107" s="19" t="s">
        <v>157</v>
      </c>
      <c r="D107" s="45"/>
      <c r="E107" s="45"/>
      <c r="F107" s="53"/>
      <c r="G107" s="39"/>
      <c r="H107" s="56"/>
    </row>
    <row r="108" spans="1:8" ht="34.5">
      <c r="A108" s="35"/>
      <c r="B108" s="42"/>
      <c r="C108" s="19" t="s">
        <v>158</v>
      </c>
      <c r="D108" s="45"/>
      <c r="E108" s="45"/>
      <c r="F108" s="53"/>
      <c r="G108" s="39"/>
      <c r="H108" s="56"/>
    </row>
    <row r="109" spans="1:8" ht="24" thickBot="1">
      <c r="A109" s="36"/>
      <c r="B109" s="43"/>
      <c r="C109" s="13" t="s">
        <v>159</v>
      </c>
      <c r="D109" s="46"/>
      <c r="E109" s="46"/>
      <c r="F109" s="54"/>
      <c r="G109" s="40"/>
      <c r="H109" s="57"/>
    </row>
    <row r="110" spans="1:8" ht="35.25" thickBot="1">
      <c r="A110" s="3"/>
      <c r="B110" s="12" t="s">
        <v>110</v>
      </c>
      <c r="C110" s="13" t="s">
        <v>111</v>
      </c>
      <c r="D110" s="13"/>
      <c r="E110" s="12"/>
      <c r="F110" s="12"/>
      <c r="G110" s="14"/>
      <c r="H110" s="15"/>
    </row>
    <row r="111" spans="1:8">
      <c r="A111" s="34">
        <v>1</v>
      </c>
      <c r="B111" s="41">
        <v>10402001001</v>
      </c>
      <c r="C111" s="19" t="s">
        <v>160</v>
      </c>
      <c r="D111" s="44" t="s">
        <v>33</v>
      </c>
      <c r="E111" s="44">
        <v>350.29</v>
      </c>
      <c r="F111" s="52">
        <v>423.3</v>
      </c>
      <c r="G111" s="38">
        <v>148277.76000000001</v>
      </c>
      <c r="H111" s="55"/>
    </row>
    <row r="112" spans="1:8" ht="23.25">
      <c r="A112" s="35"/>
      <c r="B112" s="42"/>
      <c r="C112" s="19" t="s">
        <v>119</v>
      </c>
      <c r="D112" s="45"/>
      <c r="E112" s="45"/>
      <c r="F112" s="53"/>
      <c r="G112" s="39"/>
      <c r="H112" s="56"/>
    </row>
    <row r="113" spans="1:8" ht="57">
      <c r="A113" s="35"/>
      <c r="B113" s="42"/>
      <c r="C113" s="19" t="s">
        <v>114</v>
      </c>
      <c r="D113" s="45"/>
      <c r="E113" s="45"/>
      <c r="F113" s="53"/>
      <c r="G113" s="39"/>
      <c r="H113" s="56"/>
    </row>
    <row r="114" spans="1:8" ht="24" thickBot="1">
      <c r="A114" s="36"/>
      <c r="B114" s="43"/>
      <c r="C114" s="13" t="s">
        <v>115</v>
      </c>
      <c r="D114" s="46"/>
      <c r="E114" s="46"/>
      <c r="F114" s="54"/>
      <c r="G114" s="40"/>
      <c r="H114" s="57"/>
    </row>
    <row r="115" spans="1:8">
      <c r="A115" s="34">
        <v>2</v>
      </c>
      <c r="B115" s="41">
        <v>10402001002</v>
      </c>
      <c r="C115" s="19" t="s">
        <v>160</v>
      </c>
      <c r="D115" s="44" t="s">
        <v>33</v>
      </c>
      <c r="E115" s="44">
        <v>299.31</v>
      </c>
      <c r="F115" s="60">
        <v>405.89</v>
      </c>
      <c r="G115" s="38">
        <v>121486.94</v>
      </c>
      <c r="H115" s="55"/>
    </row>
    <row r="116" spans="1:8" ht="23.25">
      <c r="A116" s="35"/>
      <c r="B116" s="42"/>
      <c r="C116" s="19" t="s">
        <v>161</v>
      </c>
      <c r="D116" s="45"/>
      <c r="E116" s="45"/>
      <c r="F116" s="53"/>
      <c r="G116" s="39"/>
      <c r="H116" s="56"/>
    </row>
    <row r="117" spans="1:8" ht="57">
      <c r="A117" s="35"/>
      <c r="B117" s="42"/>
      <c r="C117" s="19" t="s">
        <v>162</v>
      </c>
      <c r="D117" s="45"/>
      <c r="E117" s="45"/>
      <c r="F117" s="53"/>
      <c r="G117" s="39"/>
      <c r="H117" s="56"/>
    </row>
    <row r="118" spans="1:8" ht="24" thickBot="1">
      <c r="A118" s="36"/>
      <c r="B118" s="43"/>
      <c r="C118" s="13" t="s">
        <v>115</v>
      </c>
      <c r="D118" s="46"/>
      <c r="E118" s="46"/>
      <c r="F118" s="54"/>
      <c r="G118" s="40"/>
      <c r="H118" s="57"/>
    </row>
    <row r="119" spans="1:8">
      <c r="A119" s="34">
        <v>3</v>
      </c>
      <c r="B119" s="41">
        <v>10402002003</v>
      </c>
      <c r="C119" s="19" t="s">
        <v>163</v>
      </c>
      <c r="D119" s="44" t="s">
        <v>33</v>
      </c>
      <c r="E119" s="44">
        <v>3.5</v>
      </c>
      <c r="F119" s="60">
        <v>369.73</v>
      </c>
      <c r="G119" s="38">
        <v>1294.06</v>
      </c>
      <c r="H119" s="55"/>
    </row>
    <row r="120" spans="1:8" ht="23.25">
      <c r="A120" s="35"/>
      <c r="B120" s="42"/>
      <c r="C120" s="19" t="s">
        <v>164</v>
      </c>
      <c r="D120" s="45"/>
      <c r="E120" s="45"/>
      <c r="F120" s="53"/>
      <c r="G120" s="39"/>
      <c r="H120" s="56"/>
    </row>
    <row r="121" spans="1:8" ht="57">
      <c r="A121" s="35"/>
      <c r="B121" s="42"/>
      <c r="C121" s="19" t="s">
        <v>114</v>
      </c>
      <c r="D121" s="45"/>
      <c r="E121" s="45"/>
      <c r="F121" s="53"/>
      <c r="G121" s="39"/>
      <c r="H121" s="56"/>
    </row>
    <row r="122" spans="1:8" ht="24" thickBot="1">
      <c r="A122" s="36"/>
      <c r="B122" s="43"/>
      <c r="C122" s="13" t="s">
        <v>115</v>
      </c>
      <c r="D122" s="46"/>
      <c r="E122" s="46"/>
      <c r="F122" s="54"/>
      <c r="G122" s="40"/>
      <c r="H122" s="57"/>
    </row>
    <row r="123" spans="1:8">
      <c r="A123" s="34">
        <v>4</v>
      </c>
      <c r="B123" s="41">
        <v>10403002002</v>
      </c>
      <c r="C123" s="19" t="s">
        <v>165</v>
      </c>
      <c r="D123" s="44" t="s">
        <v>33</v>
      </c>
      <c r="E123" s="44">
        <v>1052.8800000000001</v>
      </c>
      <c r="F123" s="60">
        <v>407.5</v>
      </c>
      <c r="G123" s="38">
        <v>429048.6</v>
      </c>
      <c r="H123" s="55"/>
    </row>
    <row r="124" spans="1:8" ht="34.5">
      <c r="A124" s="35"/>
      <c r="B124" s="42"/>
      <c r="C124" s="19" t="s">
        <v>166</v>
      </c>
      <c r="D124" s="45"/>
      <c r="E124" s="45"/>
      <c r="F124" s="53"/>
      <c r="G124" s="39"/>
      <c r="H124" s="56"/>
    </row>
    <row r="125" spans="1:8" ht="57">
      <c r="A125" s="35"/>
      <c r="B125" s="42"/>
      <c r="C125" s="19" t="s">
        <v>114</v>
      </c>
      <c r="D125" s="45"/>
      <c r="E125" s="45"/>
      <c r="F125" s="53"/>
      <c r="G125" s="39"/>
      <c r="H125" s="56"/>
    </row>
    <row r="126" spans="1:8" ht="24" thickBot="1">
      <c r="A126" s="36"/>
      <c r="B126" s="43"/>
      <c r="C126" s="13" t="s">
        <v>115</v>
      </c>
      <c r="D126" s="46"/>
      <c r="E126" s="46"/>
      <c r="F126" s="54"/>
      <c r="G126" s="40"/>
      <c r="H126" s="57"/>
    </row>
    <row r="127" spans="1:8">
      <c r="A127" s="34">
        <v>5</v>
      </c>
      <c r="B127" s="41">
        <v>10403002003</v>
      </c>
      <c r="C127" s="19" t="s">
        <v>167</v>
      </c>
      <c r="D127" s="44" t="s">
        <v>33</v>
      </c>
      <c r="E127" s="44">
        <v>8.5299999999999994</v>
      </c>
      <c r="F127" s="60">
        <v>409.45</v>
      </c>
      <c r="G127" s="38">
        <v>3492.61</v>
      </c>
      <c r="H127" s="55"/>
    </row>
    <row r="128" spans="1:8" ht="23.25">
      <c r="A128" s="35"/>
      <c r="B128" s="42"/>
      <c r="C128" s="19" t="s">
        <v>168</v>
      </c>
      <c r="D128" s="45"/>
      <c r="E128" s="45"/>
      <c r="F128" s="53"/>
      <c r="G128" s="39"/>
      <c r="H128" s="56"/>
    </row>
    <row r="129" spans="1:8" ht="57">
      <c r="A129" s="35"/>
      <c r="B129" s="42"/>
      <c r="C129" s="19" t="s">
        <v>114</v>
      </c>
      <c r="D129" s="45"/>
      <c r="E129" s="45"/>
      <c r="F129" s="53"/>
      <c r="G129" s="39"/>
      <c r="H129" s="56"/>
    </row>
    <row r="130" spans="1:8" ht="24" thickBot="1">
      <c r="A130" s="36"/>
      <c r="B130" s="43"/>
      <c r="C130" s="13" t="s">
        <v>115</v>
      </c>
      <c r="D130" s="46"/>
      <c r="E130" s="46"/>
      <c r="F130" s="54"/>
      <c r="G130" s="40"/>
      <c r="H130" s="57"/>
    </row>
    <row r="131" spans="1:8">
      <c r="A131" s="34">
        <v>6</v>
      </c>
      <c r="B131" s="41">
        <v>10403004001</v>
      </c>
      <c r="C131" s="19" t="s">
        <v>169</v>
      </c>
      <c r="D131" s="44" t="s">
        <v>33</v>
      </c>
      <c r="E131" s="44">
        <v>33.130000000000003</v>
      </c>
      <c r="F131" s="60">
        <v>432.39</v>
      </c>
      <c r="G131" s="38">
        <v>14325.08</v>
      </c>
      <c r="H131" s="55"/>
    </row>
    <row r="132" spans="1:8" ht="23.25">
      <c r="A132" s="35"/>
      <c r="B132" s="42"/>
      <c r="C132" s="19" t="s">
        <v>170</v>
      </c>
      <c r="D132" s="45"/>
      <c r="E132" s="45"/>
      <c r="F132" s="53"/>
      <c r="G132" s="39"/>
      <c r="H132" s="56"/>
    </row>
    <row r="133" spans="1:8" ht="57">
      <c r="A133" s="35"/>
      <c r="B133" s="42"/>
      <c r="C133" s="19" t="s">
        <v>114</v>
      </c>
      <c r="D133" s="45"/>
      <c r="E133" s="45"/>
      <c r="F133" s="53"/>
      <c r="G133" s="39"/>
      <c r="H133" s="56"/>
    </row>
    <row r="134" spans="1:8" ht="24" thickBot="1">
      <c r="A134" s="36"/>
      <c r="B134" s="43"/>
      <c r="C134" s="13" t="s">
        <v>115</v>
      </c>
      <c r="D134" s="46"/>
      <c r="E134" s="46"/>
      <c r="F134" s="54"/>
      <c r="G134" s="40"/>
      <c r="H134" s="57"/>
    </row>
    <row r="135" spans="1:8">
      <c r="A135" s="34">
        <v>7</v>
      </c>
      <c r="B135" s="41">
        <v>10403005001</v>
      </c>
      <c r="C135" s="19" t="s">
        <v>171</v>
      </c>
      <c r="D135" s="44" t="s">
        <v>33</v>
      </c>
      <c r="E135" s="44">
        <v>53.06</v>
      </c>
      <c r="F135" s="60">
        <v>440.55</v>
      </c>
      <c r="G135" s="38">
        <v>23375.58</v>
      </c>
      <c r="H135" s="55"/>
    </row>
    <row r="136" spans="1:8" ht="23.25">
      <c r="A136" s="35"/>
      <c r="B136" s="42"/>
      <c r="C136" s="19" t="s">
        <v>172</v>
      </c>
      <c r="D136" s="45"/>
      <c r="E136" s="45"/>
      <c r="F136" s="53"/>
      <c r="G136" s="39"/>
      <c r="H136" s="56"/>
    </row>
    <row r="137" spans="1:8" ht="57">
      <c r="A137" s="35"/>
      <c r="B137" s="42"/>
      <c r="C137" s="19" t="s">
        <v>114</v>
      </c>
      <c r="D137" s="45"/>
      <c r="E137" s="45"/>
      <c r="F137" s="53"/>
      <c r="G137" s="39"/>
      <c r="H137" s="56"/>
    </row>
    <row r="138" spans="1:8" ht="24" thickBot="1">
      <c r="A138" s="36"/>
      <c r="B138" s="43"/>
      <c r="C138" s="13" t="s">
        <v>115</v>
      </c>
      <c r="D138" s="46"/>
      <c r="E138" s="46"/>
      <c r="F138" s="54"/>
      <c r="G138" s="40"/>
      <c r="H138" s="57"/>
    </row>
    <row r="139" spans="1:8">
      <c r="A139" s="34">
        <v>8</v>
      </c>
      <c r="B139" s="41">
        <v>10405001002</v>
      </c>
      <c r="C139" s="19" t="s">
        <v>173</v>
      </c>
      <c r="D139" s="44" t="s">
        <v>33</v>
      </c>
      <c r="E139" s="44">
        <v>2063.31</v>
      </c>
      <c r="F139" s="60">
        <v>384.15</v>
      </c>
      <c r="G139" s="38">
        <v>792620.54</v>
      </c>
      <c r="H139" s="55"/>
    </row>
    <row r="140" spans="1:8" ht="23.25">
      <c r="A140" s="35"/>
      <c r="B140" s="42"/>
      <c r="C140" s="19" t="s">
        <v>174</v>
      </c>
      <c r="D140" s="45"/>
      <c r="E140" s="45"/>
      <c r="F140" s="53"/>
      <c r="G140" s="39"/>
      <c r="H140" s="56"/>
    </row>
    <row r="141" spans="1:8" ht="57">
      <c r="A141" s="35"/>
      <c r="B141" s="42"/>
      <c r="C141" s="19" t="s">
        <v>114</v>
      </c>
      <c r="D141" s="45"/>
      <c r="E141" s="45"/>
      <c r="F141" s="53"/>
      <c r="G141" s="39"/>
      <c r="H141" s="56"/>
    </row>
    <row r="142" spans="1:8" ht="24" thickBot="1">
      <c r="A142" s="36"/>
      <c r="B142" s="43"/>
      <c r="C142" s="13" t="s">
        <v>115</v>
      </c>
      <c r="D142" s="46"/>
      <c r="E142" s="46"/>
      <c r="F142" s="54"/>
      <c r="G142" s="40"/>
      <c r="H142" s="57"/>
    </row>
    <row r="143" spans="1:8" ht="45.75">
      <c r="A143" s="34">
        <v>9</v>
      </c>
      <c r="B143" s="41">
        <v>10405006003</v>
      </c>
      <c r="C143" s="19" t="s">
        <v>175</v>
      </c>
      <c r="D143" s="44" t="s">
        <v>33</v>
      </c>
      <c r="E143" s="44">
        <v>89.3</v>
      </c>
      <c r="F143" s="60">
        <v>404.08</v>
      </c>
      <c r="G143" s="38">
        <v>36084.339999999997</v>
      </c>
      <c r="H143" s="55"/>
    </row>
    <row r="144" spans="1:8" ht="45.75">
      <c r="A144" s="35"/>
      <c r="B144" s="42"/>
      <c r="C144" s="19" t="s">
        <v>176</v>
      </c>
      <c r="D144" s="45"/>
      <c r="E144" s="45"/>
      <c r="F144" s="53"/>
      <c r="G144" s="39"/>
      <c r="H144" s="56"/>
    </row>
    <row r="145" spans="1:8" ht="34.5">
      <c r="A145" s="35"/>
      <c r="B145" s="42"/>
      <c r="C145" s="19" t="s">
        <v>177</v>
      </c>
      <c r="D145" s="45"/>
      <c r="E145" s="45"/>
      <c r="F145" s="53"/>
      <c r="G145" s="39"/>
      <c r="H145" s="56"/>
    </row>
    <row r="146" spans="1:8" ht="23.25">
      <c r="A146" s="35"/>
      <c r="B146" s="42"/>
      <c r="C146" s="19" t="s">
        <v>178</v>
      </c>
      <c r="D146" s="45"/>
      <c r="E146" s="45"/>
      <c r="F146" s="53"/>
      <c r="G146" s="39"/>
      <c r="H146" s="56"/>
    </row>
    <row r="147" spans="1:8" ht="24" thickBot="1">
      <c r="A147" s="36"/>
      <c r="B147" s="43"/>
      <c r="C147" s="13" t="s">
        <v>179</v>
      </c>
      <c r="D147" s="46"/>
      <c r="E147" s="46"/>
      <c r="F147" s="54"/>
      <c r="G147" s="40"/>
      <c r="H147" s="57"/>
    </row>
    <row r="148" spans="1:8" ht="23.25">
      <c r="A148" s="34">
        <v>10</v>
      </c>
      <c r="B148" s="41">
        <v>10405007001</v>
      </c>
      <c r="C148" s="19" t="s">
        <v>180</v>
      </c>
      <c r="D148" s="44" t="s">
        <v>33</v>
      </c>
      <c r="E148" s="44">
        <v>28.52</v>
      </c>
      <c r="F148" s="60">
        <v>421.51</v>
      </c>
      <c r="G148" s="38">
        <v>12021.47</v>
      </c>
      <c r="H148" s="55"/>
    </row>
    <row r="149" spans="1:8" ht="23.25">
      <c r="A149" s="35"/>
      <c r="B149" s="42"/>
      <c r="C149" s="19" t="s">
        <v>181</v>
      </c>
      <c r="D149" s="45"/>
      <c r="E149" s="45"/>
      <c r="F149" s="53"/>
      <c r="G149" s="39"/>
      <c r="H149" s="56"/>
    </row>
    <row r="150" spans="1:8" ht="57">
      <c r="A150" s="35"/>
      <c r="B150" s="42"/>
      <c r="C150" s="19" t="s">
        <v>114</v>
      </c>
      <c r="D150" s="45"/>
      <c r="E150" s="45"/>
      <c r="F150" s="53"/>
      <c r="G150" s="39"/>
      <c r="H150" s="56"/>
    </row>
    <row r="151" spans="1:8" ht="24" thickBot="1">
      <c r="A151" s="36"/>
      <c r="B151" s="43"/>
      <c r="C151" s="13" t="s">
        <v>115</v>
      </c>
      <c r="D151" s="46"/>
      <c r="E151" s="46"/>
      <c r="F151" s="54"/>
      <c r="G151" s="40"/>
      <c r="H151" s="57"/>
    </row>
    <row r="152" spans="1:8">
      <c r="A152" s="34">
        <v>11</v>
      </c>
      <c r="B152" s="41">
        <v>10405008002</v>
      </c>
      <c r="C152" s="19" t="s">
        <v>182</v>
      </c>
      <c r="D152" s="44" t="s">
        <v>33</v>
      </c>
      <c r="E152" s="44">
        <v>83.39</v>
      </c>
      <c r="F152" s="60">
        <v>437.54</v>
      </c>
      <c r="G152" s="38">
        <v>36486.46</v>
      </c>
      <c r="H152" s="55"/>
    </row>
    <row r="153" spans="1:8" ht="23.25">
      <c r="A153" s="35"/>
      <c r="B153" s="42"/>
      <c r="C153" s="19" t="s">
        <v>183</v>
      </c>
      <c r="D153" s="45"/>
      <c r="E153" s="45"/>
      <c r="F153" s="53"/>
      <c r="G153" s="39"/>
      <c r="H153" s="56"/>
    </row>
    <row r="154" spans="1:8" ht="57">
      <c r="A154" s="35"/>
      <c r="B154" s="42"/>
      <c r="C154" s="19" t="s">
        <v>114</v>
      </c>
      <c r="D154" s="45"/>
      <c r="E154" s="45"/>
      <c r="F154" s="53"/>
      <c r="G154" s="39"/>
      <c r="H154" s="56"/>
    </row>
    <row r="155" spans="1:8" ht="24" thickBot="1">
      <c r="A155" s="36"/>
      <c r="B155" s="43"/>
      <c r="C155" s="13" t="s">
        <v>115</v>
      </c>
      <c r="D155" s="46"/>
      <c r="E155" s="46"/>
      <c r="F155" s="54"/>
      <c r="G155" s="40"/>
      <c r="H155" s="57"/>
    </row>
    <row r="156" spans="1:8">
      <c r="A156" s="34">
        <v>12</v>
      </c>
      <c r="B156" s="37">
        <v>10406001002</v>
      </c>
      <c r="C156" s="6" t="s">
        <v>184</v>
      </c>
      <c r="D156" s="37" t="s">
        <v>33</v>
      </c>
      <c r="E156" s="37">
        <v>157.66</v>
      </c>
      <c r="F156" s="34">
        <v>528.24</v>
      </c>
      <c r="G156" s="38">
        <v>83282.320000000007</v>
      </c>
      <c r="H156" s="55"/>
    </row>
    <row r="157" spans="1:8" ht="23.25">
      <c r="A157" s="35"/>
      <c r="B157" s="35"/>
      <c r="C157" s="6" t="s">
        <v>185</v>
      </c>
      <c r="D157" s="35"/>
      <c r="E157" s="35"/>
      <c r="F157" s="35"/>
      <c r="G157" s="39"/>
      <c r="H157" s="56"/>
    </row>
    <row r="158" spans="1:8" ht="57">
      <c r="A158" s="35"/>
      <c r="B158" s="35"/>
      <c r="C158" s="6" t="s">
        <v>114</v>
      </c>
      <c r="D158" s="35"/>
      <c r="E158" s="35"/>
      <c r="F158" s="35"/>
      <c r="G158" s="39"/>
      <c r="H158" s="56"/>
    </row>
    <row r="159" spans="1:8" ht="24" thickBot="1">
      <c r="A159" s="36"/>
      <c r="B159" s="36"/>
      <c r="C159" s="4" t="s">
        <v>115</v>
      </c>
      <c r="D159" s="36"/>
      <c r="E159" s="36"/>
      <c r="F159" s="36"/>
      <c r="G159" s="40"/>
      <c r="H159" s="57"/>
    </row>
    <row r="160" spans="1:8">
      <c r="A160" s="34">
        <v>13</v>
      </c>
      <c r="B160" s="59">
        <v>10407001001</v>
      </c>
      <c r="C160" s="19" t="s">
        <v>186</v>
      </c>
      <c r="D160" s="58" t="s">
        <v>33</v>
      </c>
      <c r="E160" s="58">
        <v>52.71</v>
      </c>
      <c r="F160" s="60">
        <v>378.13</v>
      </c>
      <c r="G160" s="38">
        <v>19931.23</v>
      </c>
      <c r="H160" s="55"/>
    </row>
    <row r="161" spans="1:8" ht="23.25">
      <c r="A161" s="35"/>
      <c r="B161" s="42"/>
      <c r="C161" s="19" t="s">
        <v>187</v>
      </c>
      <c r="D161" s="45"/>
      <c r="E161" s="45"/>
      <c r="F161" s="53"/>
      <c r="G161" s="39"/>
      <c r="H161" s="56"/>
    </row>
    <row r="162" spans="1:8" ht="57">
      <c r="A162" s="35"/>
      <c r="B162" s="42"/>
      <c r="C162" s="19" t="s">
        <v>114</v>
      </c>
      <c r="D162" s="45"/>
      <c r="E162" s="45"/>
      <c r="F162" s="53"/>
      <c r="G162" s="39"/>
      <c r="H162" s="56"/>
    </row>
    <row r="163" spans="1:8" ht="24" thickBot="1">
      <c r="A163" s="36"/>
      <c r="B163" s="43"/>
      <c r="C163" s="13" t="s">
        <v>115</v>
      </c>
      <c r="D163" s="46"/>
      <c r="E163" s="46"/>
      <c r="F163" s="54"/>
      <c r="G163" s="40"/>
      <c r="H163" s="57"/>
    </row>
    <row r="164" spans="1:8">
      <c r="A164" s="34">
        <v>14</v>
      </c>
      <c r="B164" s="41">
        <v>10407001002</v>
      </c>
      <c r="C164" s="19" t="s">
        <v>186</v>
      </c>
      <c r="D164" s="44" t="s">
        <v>33</v>
      </c>
      <c r="E164" s="44">
        <v>37.04</v>
      </c>
      <c r="F164" s="60">
        <v>381.83</v>
      </c>
      <c r="G164" s="38">
        <v>14142.98</v>
      </c>
      <c r="H164" s="55"/>
    </row>
    <row r="165" spans="1:8" ht="23.25">
      <c r="A165" s="35"/>
      <c r="B165" s="42"/>
      <c r="C165" s="19" t="s">
        <v>188</v>
      </c>
      <c r="D165" s="45"/>
      <c r="E165" s="45"/>
      <c r="F165" s="53"/>
      <c r="G165" s="39"/>
      <c r="H165" s="56"/>
    </row>
    <row r="166" spans="1:8" ht="57">
      <c r="A166" s="35"/>
      <c r="B166" s="42"/>
      <c r="C166" s="19" t="s">
        <v>114</v>
      </c>
      <c r="D166" s="45"/>
      <c r="E166" s="45"/>
      <c r="F166" s="53"/>
      <c r="G166" s="39"/>
      <c r="H166" s="56"/>
    </row>
    <row r="167" spans="1:8" ht="24" thickBot="1">
      <c r="A167" s="36"/>
      <c r="B167" s="43"/>
      <c r="C167" s="13" t="s">
        <v>115</v>
      </c>
      <c r="D167" s="46"/>
      <c r="E167" s="46"/>
      <c r="F167" s="54"/>
      <c r="G167" s="40"/>
      <c r="H167" s="57"/>
    </row>
    <row r="168" spans="1:8">
      <c r="A168" s="34">
        <v>15</v>
      </c>
      <c r="B168" s="41">
        <v>10407002001</v>
      </c>
      <c r="C168" s="19" t="s">
        <v>189</v>
      </c>
      <c r="D168" s="44" t="s">
        <v>4</v>
      </c>
      <c r="E168" s="44">
        <v>34.619999999999997</v>
      </c>
      <c r="F168" s="60">
        <v>28.88</v>
      </c>
      <c r="G168" s="38">
        <v>999.83</v>
      </c>
      <c r="H168" s="55"/>
    </row>
    <row r="169" spans="1:8" ht="34.5">
      <c r="A169" s="35"/>
      <c r="B169" s="42"/>
      <c r="C169" s="19" t="s">
        <v>190</v>
      </c>
      <c r="D169" s="45"/>
      <c r="E169" s="45"/>
      <c r="F169" s="53"/>
      <c r="G169" s="39"/>
      <c r="H169" s="56"/>
    </row>
    <row r="170" spans="1:8" ht="23.25">
      <c r="A170" s="35"/>
      <c r="B170" s="42"/>
      <c r="C170" s="19" t="s">
        <v>191</v>
      </c>
      <c r="D170" s="45"/>
      <c r="E170" s="45"/>
      <c r="F170" s="53"/>
      <c r="G170" s="39"/>
      <c r="H170" s="56"/>
    </row>
    <row r="171" spans="1:8" ht="45.75">
      <c r="A171" s="35"/>
      <c r="B171" s="42"/>
      <c r="C171" s="19" t="s">
        <v>192</v>
      </c>
      <c r="D171" s="45"/>
      <c r="E171" s="45"/>
      <c r="F171" s="53"/>
      <c r="G171" s="39"/>
      <c r="H171" s="56"/>
    </row>
    <row r="172" spans="1:8" ht="34.5">
      <c r="A172" s="35"/>
      <c r="B172" s="42"/>
      <c r="C172" s="19" t="s">
        <v>193</v>
      </c>
      <c r="D172" s="45"/>
      <c r="E172" s="45"/>
      <c r="F172" s="53"/>
      <c r="G172" s="39"/>
      <c r="H172" s="56"/>
    </row>
    <row r="173" spans="1:8" ht="35.25" thickBot="1">
      <c r="A173" s="36"/>
      <c r="B173" s="43"/>
      <c r="C173" s="13" t="s">
        <v>194</v>
      </c>
      <c r="D173" s="46"/>
      <c r="E173" s="46"/>
      <c r="F173" s="54"/>
      <c r="G173" s="40"/>
      <c r="H173" s="57"/>
    </row>
    <row r="174" spans="1:8">
      <c r="A174" s="34">
        <v>16</v>
      </c>
      <c r="B174" s="41">
        <v>10407002005</v>
      </c>
      <c r="C174" s="19" t="s">
        <v>195</v>
      </c>
      <c r="D174" s="44" t="s">
        <v>4</v>
      </c>
      <c r="E174" s="44">
        <v>541.12</v>
      </c>
      <c r="F174" s="60">
        <v>36.76</v>
      </c>
      <c r="G174" s="38">
        <v>19891.57</v>
      </c>
      <c r="H174" s="55"/>
    </row>
    <row r="175" spans="1:8" ht="23.25">
      <c r="A175" s="35"/>
      <c r="B175" s="42"/>
      <c r="C175" s="19" t="s">
        <v>196</v>
      </c>
      <c r="D175" s="45"/>
      <c r="E175" s="45"/>
      <c r="F175" s="53"/>
      <c r="G175" s="39"/>
      <c r="H175" s="56"/>
    </row>
    <row r="176" spans="1:8" ht="23.25">
      <c r="A176" s="35"/>
      <c r="B176" s="42"/>
      <c r="C176" s="19" t="s">
        <v>197</v>
      </c>
      <c r="D176" s="45"/>
      <c r="E176" s="45"/>
      <c r="F176" s="53"/>
      <c r="G176" s="39"/>
      <c r="H176" s="56"/>
    </row>
    <row r="177" spans="1:8" ht="45.75">
      <c r="A177" s="35"/>
      <c r="B177" s="42"/>
      <c r="C177" s="19" t="s">
        <v>198</v>
      </c>
      <c r="D177" s="45"/>
      <c r="E177" s="45"/>
      <c r="F177" s="53"/>
      <c r="G177" s="39"/>
      <c r="H177" s="56"/>
    </row>
    <row r="178" spans="1:8" ht="45.75">
      <c r="A178" s="35"/>
      <c r="B178" s="42"/>
      <c r="C178" s="19" t="s">
        <v>199</v>
      </c>
      <c r="D178" s="45"/>
      <c r="E178" s="45"/>
      <c r="F178" s="53"/>
      <c r="G178" s="39"/>
      <c r="H178" s="56"/>
    </row>
    <row r="179" spans="1:8" ht="24" thickBot="1">
      <c r="A179" s="36"/>
      <c r="B179" s="43"/>
      <c r="C179" s="13" t="s">
        <v>200</v>
      </c>
      <c r="D179" s="46"/>
      <c r="E179" s="46"/>
      <c r="F179" s="54"/>
      <c r="G179" s="40"/>
      <c r="H179" s="57"/>
    </row>
    <row r="180" spans="1:8" ht="23.25">
      <c r="A180" s="34">
        <v>17</v>
      </c>
      <c r="B180" s="41">
        <v>10407002005</v>
      </c>
      <c r="C180" s="19" t="s">
        <v>201</v>
      </c>
      <c r="D180" s="44" t="s">
        <v>4</v>
      </c>
      <c r="E180" s="44">
        <v>2.65</v>
      </c>
      <c r="F180" s="60">
        <v>32.450000000000003</v>
      </c>
      <c r="G180" s="38">
        <v>85.99</v>
      </c>
      <c r="H180" s="55"/>
    </row>
    <row r="181" spans="1:8" ht="23.25">
      <c r="A181" s="35"/>
      <c r="B181" s="42"/>
      <c r="C181" s="19" t="s">
        <v>196</v>
      </c>
      <c r="D181" s="45"/>
      <c r="E181" s="45"/>
      <c r="F181" s="53"/>
      <c r="G181" s="39"/>
      <c r="H181" s="56"/>
    </row>
    <row r="182" spans="1:8" ht="23.25">
      <c r="A182" s="35"/>
      <c r="B182" s="42"/>
      <c r="C182" s="19" t="s">
        <v>202</v>
      </c>
      <c r="D182" s="45"/>
      <c r="E182" s="45"/>
      <c r="F182" s="53"/>
      <c r="G182" s="39"/>
      <c r="H182" s="56"/>
    </row>
    <row r="183" spans="1:8" ht="45.75">
      <c r="A183" s="35"/>
      <c r="B183" s="42"/>
      <c r="C183" s="19" t="s">
        <v>198</v>
      </c>
      <c r="D183" s="45"/>
      <c r="E183" s="45"/>
      <c r="F183" s="53"/>
      <c r="G183" s="39"/>
      <c r="H183" s="56"/>
    </row>
    <row r="184" spans="1:8" ht="45.75">
      <c r="A184" s="35"/>
      <c r="B184" s="42"/>
      <c r="C184" s="19" t="s">
        <v>199</v>
      </c>
      <c r="D184" s="45"/>
      <c r="E184" s="45"/>
      <c r="F184" s="53"/>
      <c r="G184" s="39"/>
      <c r="H184" s="56"/>
    </row>
    <row r="185" spans="1:8" ht="24" thickBot="1">
      <c r="A185" s="36"/>
      <c r="B185" s="43"/>
      <c r="C185" s="13" t="s">
        <v>200</v>
      </c>
      <c r="D185" s="46"/>
      <c r="E185" s="46"/>
      <c r="F185" s="54"/>
      <c r="G185" s="40"/>
      <c r="H185" s="57"/>
    </row>
    <row r="186" spans="1:8" ht="45.75">
      <c r="A186" s="34">
        <v>18</v>
      </c>
      <c r="B186" s="41">
        <v>10412008001</v>
      </c>
      <c r="C186" s="19" t="s">
        <v>203</v>
      </c>
      <c r="D186" s="44" t="s">
        <v>33</v>
      </c>
      <c r="E186" s="44">
        <v>34.979999999999997</v>
      </c>
      <c r="F186" s="60">
        <v>733.36</v>
      </c>
      <c r="G186" s="38">
        <v>25652.93</v>
      </c>
      <c r="H186" s="55"/>
    </row>
    <row r="187" spans="1:8" ht="45.75">
      <c r="A187" s="35"/>
      <c r="B187" s="42"/>
      <c r="C187" s="19" t="s">
        <v>204</v>
      </c>
      <c r="D187" s="45"/>
      <c r="E187" s="45"/>
      <c r="F187" s="53"/>
      <c r="G187" s="39"/>
      <c r="H187" s="56"/>
    </row>
    <row r="188" spans="1:8" ht="23.25">
      <c r="A188" s="35"/>
      <c r="B188" s="42"/>
      <c r="C188" s="19" t="s">
        <v>205</v>
      </c>
      <c r="D188" s="45"/>
      <c r="E188" s="45"/>
      <c r="F188" s="53"/>
      <c r="G188" s="39"/>
      <c r="H188" s="56"/>
    </row>
    <row r="189" spans="1:8" ht="23.25">
      <c r="A189" s="35"/>
      <c r="B189" s="42"/>
      <c r="C189" s="19" t="s">
        <v>206</v>
      </c>
      <c r="D189" s="45"/>
      <c r="E189" s="45"/>
      <c r="F189" s="53"/>
      <c r="G189" s="39"/>
      <c r="H189" s="56"/>
    </row>
    <row r="190" spans="1:8" ht="23.25">
      <c r="A190" s="35"/>
      <c r="B190" s="42"/>
      <c r="C190" s="19" t="s">
        <v>207</v>
      </c>
      <c r="D190" s="45"/>
      <c r="E190" s="45"/>
      <c r="F190" s="53"/>
      <c r="G190" s="39"/>
      <c r="H190" s="56"/>
    </row>
    <row r="191" spans="1:8" ht="24" thickBot="1">
      <c r="A191" s="36"/>
      <c r="B191" s="43"/>
      <c r="C191" s="13" t="s">
        <v>208</v>
      </c>
      <c r="D191" s="46"/>
      <c r="E191" s="46"/>
      <c r="F191" s="54"/>
      <c r="G191" s="40"/>
      <c r="H191" s="57"/>
    </row>
    <row r="192" spans="1:8" ht="23.25">
      <c r="A192" s="34">
        <v>19</v>
      </c>
      <c r="B192" s="41">
        <v>10416001001</v>
      </c>
      <c r="C192" s="19" t="s">
        <v>122</v>
      </c>
      <c r="D192" s="44" t="s">
        <v>52</v>
      </c>
      <c r="E192" s="44">
        <v>227.791</v>
      </c>
      <c r="F192" s="60">
        <v>5784.26</v>
      </c>
      <c r="G192" s="38">
        <v>1317602.3700000001</v>
      </c>
      <c r="H192" s="55"/>
    </row>
    <row r="193" spans="1:8" ht="23.25">
      <c r="A193" s="35"/>
      <c r="B193" s="42"/>
      <c r="C193" s="19" t="s">
        <v>209</v>
      </c>
      <c r="D193" s="45"/>
      <c r="E193" s="45"/>
      <c r="F193" s="53"/>
      <c r="G193" s="39"/>
      <c r="H193" s="56"/>
    </row>
    <row r="194" spans="1:8" ht="68.25">
      <c r="A194" s="35"/>
      <c r="B194" s="42"/>
      <c r="C194" s="19" t="s">
        <v>124</v>
      </c>
      <c r="D194" s="45"/>
      <c r="E194" s="45"/>
      <c r="F194" s="53"/>
      <c r="G194" s="39"/>
      <c r="H194" s="56"/>
    </row>
    <row r="195" spans="1:8" ht="35.25" thickBot="1">
      <c r="A195" s="36"/>
      <c r="B195" s="43"/>
      <c r="C195" s="13" t="s">
        <v>125</v>
      </c>
      <c r="D195" s="46"/>
      <c r="E195" s="46"/>
      <c r="F195" s="54"/>
      <c r="G195" s="40"/>
      <c r="H195" s="57"/>
    </row>
    <row r="196" spans="1:8" ht="34.5">
      <c r="A196" s="34">
        <v>20</v>
      </c>
      <c r="B196" s="41">
        <v>10416001002</v>
      </c>
      <c r="C196" s="19" t="s">
        <v>210</v>
      </c>
      <c r="D196" s="44" t="s">
        <v>52</v>
      </c>
      <c r="E196" s="44">
        <v>3.3929999999999998</v>
      </c>
      <c r="F196" s="60">
        <v>5784.25</v>
      </c>
      <c r="G196" s="38">
        <v>19625.96</v>
      </c>
      <c r="H196" s="55"/>
    </row>
    <row r="197" spans="1:8" ht="79.5">
      <c r="A197" s="35"/>
      <c r="B197" s="42"/>
      <c r="C197" s="19" t="s">
        <v>211</v>
      </c>
      <c r="D197" s="45"/>
      <c r="E197" s="45"/>
      <c r="F197" s="53"/>
      <c r="G197" s="39"/>
      <c r="H197" s="56"/>
    </row>
    <row r="198" spans="1:8" ht="35.25" thickBot="1">
      <c r="A198" s="36"/>
      <c r="B198" s="43"/>
      <c r="C198" s="13" t="s">
        <v>125</v>
      </c>
      <c r="D198" s="46"/>
      <c r="E198" s="46"/>
      <c r="F198" s="54"/>
      <c r="G198" s="40"/>
      <c r="H198" s="57"/>
    </row>
    <row r="199" spans="1:8" ht="23.25">
      <c r="A199" s="34">
        <v>21</v>
      </c>
      <c r="B199" s="41">
        <v>10416001001</v>
      </c>
      <c r="C199" s="19" t="s">
        <v>122</v>
      </c>
      <c r="D199" s="44" t="s">
        <v>52</v>
      </c>
      <c r="E199" s="44">
        <v>0.86899999999999999</v>
      </c>
      <c r="F199" s="60">
        <v>4912.6000000000004</v>
      </c>
      <c r="G199" s="38">
        <v>4269.05</v>
      </c>
      <c r="H199" s="55"/>
    </row>
    <row r="200" spans="1:8" ht="23.25">
      <c r="A200" s="35"/>
      <c r="B200" s="42"/>
      <c r="C200" s="19" t="s">
        <v>209</v>
      </c>
      <c r="D200" s="45"/>
      <c r="E200" s="45"/>
      <c r="F200" s="53"/>
      <c r="G200" s="39"/>
      <c r="H200" s="56"/>
    </row>
    <row r="201" spans="1:8" ht="68.25">
      <c r="A201" s="35"/>
      <c r="B201" s="42"/>
      <c r="C201" s="19" t="s">
        <v>212</v>
      </c>
      <c r="D201" s="45"/>
      <c r="E201" s="45"/>
      <c r="F201" s="53"/>
      <c r="G201" s="39"/>
      <c r="H201" s="56"/>
    </row>
    <row r="202" spans="1:8" ht="35.25" thickBot="1">
      <c r="A202" s="36"/>
      <c r="B202" s="43"/>
      <c r="C202" s="13" t="s">
        <v>125</v>
      </c>
      <c r="D202" s="46"/>
      <c r="E202" s="46"/>
      <c r="F202" s="54"/>
      <c r="G202" s="40"/>
      <c r="H202" s="57"/>
    </row>
    <row r="203" spans="1:8" ht="34.5">
      <c r="A203" s="34">
        <v>22</v>
      </c>
      <c r="B203" s="41">
        <v>10416001002</v>
      </c>
      <c r="C203" s="19" t="s">
        <v>210</v>
      </c>
      <c r="D203" s="44" t="s">
        <v>52</v>
      </c>
      <c r="E203" s="44">
        <v>4.6109999999999998</v>
      </c>
      <c r="F203" s="60">
        <v>4912.6000000000004</v>
      </c>
      <c r="G203" s="38">
        <v>22652</v>
      </c>
      <c r="H203" s="55"/>
    </row>
    <row r="204" spans="1:8" ht="79.5">
      <c r="A204" s="35"/>
      <c r="B204" s="42"/>
      <c r="C204" s="19" t="s">
        <v>127</v>
      </c>
      <c r="D204" s="45"/>
      <c r="E204" s="45"/>
      <c r="F204" s="53"/>
      <c r="G204" s="39"/>
      <c r="H204" s="56"/>
    </row>
    <row r="205" spans="1:8" ht="35.25" thickBot="1">
      <c r="A205" s="36"/>
      <c r="B205" s="43"/>
      <c r="C205" s="13" t="s">
        <v>125</v>
      </c>
      <c r="D205" s="46"/>
      <c r="E205" s="46"/>
      <c r="F205" s="54"/>
      <c r="G205" s="40"/>
      <c r="H205" s="57"/>
    </row>
    <row r="206" spans="1:8" ht="34.5">
      <c r="A206" s="34">
        <v>23</v>
      </c>
      <c r="B206" s="41">
        <v>10416001002</v>
      </c>
      <c r="C206" s="19" t="s">
        <v>210</v>
      </c>
      <c r="D206" s="44" t="s">
        <v>52</v>
      </c>
      <c r="E206" s="44">
        <v>210.14599999999999</v>
      </c>
      <c r="F206" s="60">
        <v>4951.41</v>
      </c>
      <c r="G206" s="38">
        <v>1040519.01</v>
      </c>
      <c r="H206" s="55"/>
    </row>
    <row r="207" spans="1:8" ht="79.5">
      <c r="A207" s="35"/>
      <c r="B207" s="42"/>
      <c r="C207" s="19" t="s">
        <v>128</v>
      </c>
      <c r="D207" s="45"/>
      <c r="E207" s="45"/>
      <c r="F207" s="53"/>
      <c r="G207" s="39"/>
      <c r="H207" s="56"/>
    </row>
    <row r="208" spans="1:8" ht="35.25" thickBot="1">
      <c r="A208" s="36"/>
      <c r="B208" s="43"/>
      <c r="C208" s="13" t="s">
        <v>125</v>
      </c>
      <c r="D208" s="46"/>
      <c r="E208" s="46"/>
      <c r="F208" s="54"/>
      <c r="G208" s="40"/>
      <c r="H208" s="57"/>
    </row>
    <row r="209" spans="1:8" ht="23.25">
      <c r="A209" s="34">
        <v>24</v>
      </c>
      <c r="B209" s="41">
        <v>10416002001</v>
      </c>
      <c r="C209" s="19" t="s">
        <v>213</v>
      </c>
      <c r="D209" s="44" t="s">
        <v>52</v>
      </c>
      <c r="E209" s="44">
        <v>3.5659999999999998</v>
      </c>
      <c r="F209" s="60">
        <v>5540.82</v>
      </c>
      <c r="G209" s="38">
        <v>19758.560000000001</v>
      </c>
      <c r="H209" s="55"/>
    </row>
    <row r="210" spans="1:8" ht="68.25">
      <c r="A210" s="35"/>
      <c r="B210" s="42"/>
      <c r="C210" s="19" t="s">
        <v>214</v>
      </c>
      <c r="D210" s="45"/>
      <c r="E210" s="45"/>
      <c r="F210" s="53"/>
      <c r="G210" s="39"/>
      <c r="H210" s="56"/>
    </row>
    <row r="211" spans="1:8" ht="35.25" thickBot="1">
      <c r="A211" s="36"/>
      <c r="B211" s="43"/>
      <c r="C211" s="13" t="s">
        <v>125</v>
      </c>
      <c r="D211" s="46"/>
      <c r="E211" s="46"/>
      <c r="F211" s="54"/>
      <c r="G211" s="40"/>
      <c r="H211" s="57"/>
    </row>
    <row r="212" spans="1:8">
      <c r="A212" s="34">
        <v>25</v>
      </c>
      <c r="B212" s="41">
        <v>10417002001</v>
      </c>
      <c r="C212" s="19" t="s">
        <v>215</v>
      </c>
      <c r="D212" s="44" t="s">
        <v>52</v>
      </c>
      <c r="E212" s="44">
        <v>2.2639999999999998</v>
      </c>
      <c r="F212" s="60">
        <v>11362.08</v>
      </c>
      <c r="G212" s="38">
        <v>25723.75</v>
      </c>
      <c r="H212" s="55"/>
    </row>
    <row r="213" spans="1:8" ht="35.25" thickBot="1">
      <c r="A213" s="36"/>
      <c r="B213" s="43"/>
      <c r="C213" s="13" t="s">
        <v>216</v>
      </c>
      <c r="D213" s="46"/>
      <c r="E213" s="46"/>
      <c r="F213" s="54"/>
      <c r="G213" s="40"/>
      <c r="H213" s="57"/>
    </row>
    <row r="214" spans="1:8" ht="24" thickBot="1">
      <c r="A214" s="3"/>
      <c r="B214" s="12" t="s">
        <v>217</v>
      </c>
      <c r="C214" s="13" t="s">
        <v>218</v>
      </c>
      <c r="D214" s="13"/>
      <c r="E214" s="12"/>
      <c r="F214" s="12"/>
      <c r="G214" s="14">
        <v>0</v>
      </c>
      <c r="H214" s="15"/>
    </row>
    <row r="215" spans="1:8" ht="23.25">
      <c r="A215" s="34">
        <v>1</v>
      </c>
      <c r="B215" s="41">
        <v>10702002001</v>
      </c>
      <c r="C215" s="19" t="s">
        <v>219</v>
      </c>
      <c r="D215" s="44" t="s">
        <v>4</v>
      </c>
      <c r="E215" s="44">
        <v>4149.22</v>
      </c>
      <c r="F215" s="52">
        <v>50.77</v>
      </c>
      <c r="G215" s="38">
        <v>210655.9</v>
      </c>
      <c r="H215" s="55"/>
    </row>
    <row r="216" spans="1:8" ht="23.25">
      <c r="A216" s="35"/>
      <c r="B216" s="42"/>
      <c r="C216" s="19" t="s">
        <v>220</v>
      </c>
      <c r="D216" s="45"/>
      <c r="E216" s="45"/>
      <c r="F216" s="53"/>
      <c r="G216" s="39"/>
      <c r="H216" s="56"/>
    </row>
    <row r="217" spans="1:8" ht="35.25" thickBot="1">
      <c r="A217" s="36"/>
      <c r="B217" s="43"/>
      <c r="C217" s="13" t="s">
        <v>221</v>
      </c>
      <c r="D217" s="46"/>
      <c r="E217" s="46"/>
      <c r="F217" s="54"/>
      <c r="G217" s="40"/>
      <c r="H217" s="57"/>
    </row>
    <row r="218" spans="1:8" ht="23.25">
      <c r="A218" s="34">
        <v>2</v>
      </c>
      <c r="B218" s="41">
        <v>10702002002</v>
      </c>
      <c r="C218" s="19" t="s">
        <v>219</v>
      </c>
      <c r="D218" s="44" t="s">
        <v>4</v>
      </c>
      <c r="E218" s="44">
        <v>1538.85</v>
      </c>
      <c r="F218" s="60">
        <v>56.77</v>
      </c>
      <c r="G218" s="38">
        <v>87360.51</v>
      </c>
      <c r="H218" s="55"/>
    </row>
    <row r="219" spans="1:8" ht="23.25">
      <c r="A219" s="35"/>
      <c r="B219" s="42"/>
      <c r="C219" s="19" t="s">
        <v>220</v>
      </c>
      <c r="D219" s="45"/>
      <c r="E219" s="45"/>
      <c r="F219" s="53"/>
      <c r="G219" s="39"/>
      <c r="H219" s="56"/>
    </row>
    <row r="220" spans="1:8" ht="34.5">
      <c r="A220" s="35"/>
      <c r="B220" s="42"/>
      <c r="C220" s="19" t="s">
        <v>221</v>
      </c>
      <c r="D220" s="45"/>
      <c r="E220" s="45"/>
      <c r="F220" s="53"/>
      <c r="G220" s="39"/>
      <c r="H220" s="56"/>
    </row>
    <row r="221" spans="1:8" ht="24" thickBot="1">
      <c r="A221" s="36"/>
      <c r="B221" s="43"/>
      <c r="C221" s="13" t="s">
        <v>222</v>
      </c>
      <c r="D221" s="46"/>
      <c r="E221" s="46"/>
      <c r="F221" s="54"/>
      <c r="G221" s="40"/>
      <c r="H221" s="57"/>
    </row>
    <row r="222" spans="1:8" ht="34.5">
      <c r="A222" s="34">
        <v>3</v>
      </c>
      <c r="B222" s="41">
        <v>10702002003</v>
      </c>
      <c r="C222" s="19" t="s">
        <v>223</v>
      </c>
      <c r="D222" s="44" t="s">
        <v>4</v>
      </c>
      <c r="E222" s="44">
        <v>1538.85</v>
      </c>
      <c r="F222" s="60">
        <v>52.45</v>
      </c>
      <c r="G222" s="38">
        <v>80712.679999999993</v>
      </c>
      <c r="H222" s="55"/>
    </row>
    <row r="223" spans="1:8" ht="35.25" thickBot="1">
      <c r="A223" s="36"/>
      <c r="B223" s="43"/>
      <c r="C223" s="13" t="s">
        <v>224</v>
      </c>
      <c r="D223" s="46"/>
      <c r="E223" s="46"/>
      <c r="F223" s="54"/>
      <c r="G223" s="40"/>
      <c r="H223" s="57"/>
    </row>
    <row r="224" spans="1:8" ht="23.25">
      <c r="A224" s="34">
        <v>3</v>
      </c>
      <c r="B224" s="41">
        <v>10703003001</v>
      </c>
      <c r="C224" s="19" t="s">
        <v>225</v>
      </c>
      <c r="D224" s="44" t="s">
        <v>4</v>
      </c>
      <c r="E224" s="44">
        <v>285.12</v>
      </c>
      <c r="F224" s="60">
        <v>25.77</v>
      </c>
      <c r="G224" s="38">
        <v>7347.54</v>
      </c>
      <c r="H224" s="55"/>
    </row>
    <row r="225" spans="1:8" ht="45.75">
      <c r="A225" s="35"/>
      <c r="B225" s="42"/>
      <c r="C225" s="19" t="s">
        <v>226</v>
      </c>
      <c r="D225" s="45"/>
      <c r="E225" s="45"/>
      <c r="F225" s="53"/>
      <c r="G225" s="39"/>
      <c r="H225" s="56"/>
    </row>
    <row r="226" spans="1:8" ht="34.5">
      <c r="A226" s="35"/>
      <c r="B226" s="42"/>
      <c r="C226" s="19" t="s">
        <v>227</v>
      </c>
      <c r="D226" s="45"/>
      <c r="E226" s="45"/>
      <c r="F226" s="53"/>
      <c r="G226" s="39"/>
      <c r="H226" s="56"/>
    </row>
    <row r="227" spans="1:8" ht="23.25">
      <c r="A227" s="35"/>
      <c r="B227" s="42"/>
      <c r="C227" s="19" t="s">
        <v>228</v>
      </c>
      <c r="D227" s="45"/>
      <c r="E227" s="45"/>
      <c r="F227" s="53"/>
      <c r="G227" s="39"/>
      <c r="H227" s="56"/>
    </row>
    <row r="228" spans="1:8" ht="35.25" thickBot="1">
      <c r="A228" s="36"/>
      <c r="B228" s="43"/>
      <c r="C228" s="13" t="s">
        <v>229</v>
      </c>
      <c r="D228" s="46"/>
      <c r="E228" s="46"/>
      <c r="F228" s="54"/>
      <c r="G228" s="40"/>
      <c r="H228" s="57"/>
    </row>
    <row r="229" spans="1:8" ht="34.5">
      <c r="A229" s="34">
        <v>4</v>
      </c>
      <c r="B229" s="41">
        <v>10703003001</v>
      </c>
      <c r="C229" s="19" t="s">
        <v>230</v>
      </c>
      <c r="D229" s="44" t="s">
        <v>4</v>
      </c>
      <c r="E229" s="44">
        <v>427.68</v>
      </c>
      <c r="F229" s="60">
        <v>25.77</v>
      </c>
      <c r="G229" s="38">
        <v>11021.31</v>
      </c>
      <c r="H229" s="55"/>
    </row>
    <row r="230" spans="1:8" ht="34.5">
      <c r="A230" s="35"/>
      <c r="B230" s="42"/>
      <c r="C230" s="19" t="s">
        <v>227</v>
      </c>
      <c r="D230" s="45"/>
      <c r="E230" s="45"/>
      <c r="F230" s="53"/>
      <c r="G230" s="39"/>
      <c r="H230" s="56"/>
    </row>
    <row r="231" spans="1:8" ht="34.5">
      <c r="A231" s="35"/>
      <c r="B231" s="42"/>
      <c r="C231" s="19" t="s">
        <v>231</v>
      </c>
      <c r="D231" s="45"/>
      <c r="E231" s="45"/>
      <c r="F231" s="53"/>
      <c r="G231" s="39"/>
      <c r="H231" s="56"/>
    </row>
    <row r="232" spans="1:8" ht="46.5" thickBot="1">
      <c r="A232" s="36"/>
      <c r="B232" s="43"/>
      <c r="C232" s="13" t="s">
        <v>232</v>
      </c>
      <c r="D232" s="46"/>
      <c r="E232" s="46"/>
      <c r="F232" s="54"/>
      <c r="G232" s="40"/>
      <c r="H232" s="57"/>
    </row>
    <row r="233" spans="1:8" ht="23.25">
      <c r="A233" s="34">
        <v>5</v>
      </c>
      <c r="B233" s="41">
        <v>10703003004</v>
      </c>
      <c r="C233" s="19" t="s">
        <v>233</v>
      </c>
      <c r="D233" s="44" t="s">
        <v>4</v>
      </c>
      <c r="E233" s="44">
        <v>3845.51</v>
      </c>
      <c r="F233" s="60">
        <v>29.02</v>
      </c>
      <c r="G233" s="38">
        <v>111596.7</v>
      </c>
      <c r="H233" s="55"/>
    </row>
    <row r="234" spans="1:8" ht="45.75">
      <c r="A234" s="35"/>
      <c r="B234" s="42"/>
      <c r="C234" s="19" t="s">
        <v>234</v>
      </c>
      <c r="D234" s="45"/>
      <c r="E234" s="45"/>
      <c r="F234" s="53"/>
      <c r="G234" s="39"/>
      <c r="H234" s="56"/>
    </row>
    <row r="235" spans="1:8">
      <c r="A235" s="35"/>
      <c r="B235" s="42"/>
      <c r="C235" s="23"/>
      <c r="D235" s="45"/>
      <c r="E235" s="45"/>
      <c r="F235" s="53"/>
      <c r="G235" s="39"/>
      <c r="H235" s="56"/>
    </row>
    <row r="236" spans="1:8" ht="46.5" thickBot="1">
      <c r="A236" s="36"/>
      <c r="B236" s="43"/>
      <c r="C236" s="13" t="s">
        <v>235</v>
      </c>
      <c r="D236" s="46"/>
      <c r="E236" s="46"/>
      <c r="F236" s="54"/>
      <c r="G236" s="40"/>
      <c r="H236" s="57"/>
    </row>
    <row r="237" spans="1:8">
      <c r="A237" s="34">
        <v>6</v>
      </c>
      <c r="B237" s="41">
        <v>10703004001</v>
      </c>
      <c r="C237" s="19" t="s">
        <v>236</v>
      </c>
      <c r="D237" s="44" t="s">
        <v>238</v>
      </c>
      <c r="E237" s="52">
        <v>79.2</v>
      </c>
      <c r="F237" s="59">
        <v>75</v>
      </c>
      <c r="G237" s="47">
        <v>5940</v>
      </c>
      <c r="H237" s="50"/>
    </row>
    <row r="238" spans="1:8" ht="147.75" thickBot="1">
      <c r="A238" s="36"/>
      <c r="B238" s="43"/>
      <c r="C238" s="13" t="s">
        <v>237</v>
      </c>
      <c r="D238" s="46"/>
      <c r="E238" s="54"/>
      <c r="F238" s="43"/>
      <c r="G238" s="49"/>
      <c r="H238" s="51"/>
    </row>
    <row r="239" spans="1:8">
      <c r="A239" s="34">
        <v>7</v>
      </c>
      <c r="B239" s="41">
        <v>10703004002</v>
      </c>
      <c r="C239" s="19" t="s">
        <v>236</v>
      </c>
      <c r="D239" s="44" t="s">
        <v>238</v>
      </c>
      <c r="E239" s="60">
        <v>28.8</v>
      </c>
      <c r="F239" s="41">
        <v>65</v>
      </c>
      <c r="G239" s="47">
        <v>1872</v>
      </c>
      <c r="H239" s="50"/>
    </row>
    <row r="240" spans="1:8" ht="147.75" thickBot="1">
      <c r="A240" s="36"/>
      <c r="B240" s="43"/>
      <c r="C240" s="13" t="s">
        <v>239</v>
      </c>
      <c r="D240" s="46"/>
      <c r="E240" s="54"/>
      <c r="F240" s="43"/>
      <c r="G240" s="49"/>
      <c r="H240" s="51"/>
    </row>
    <row r="241" spans="1:8" ht="23.25">
      <c r="A241" s="34">
        <v>8</v>
      </c>
      <c r="B241" s="41">
        <v>10703004003</v>
      </c>
      <c r="C241" s="19" t="s">
        <v>240</v>
      </c>
      <c r="D241" s="44" t="s">
        <v>238</v>
      </c>
      <c r="E241" s="60">
        <v>331</v>
      </c>
      <c r="F241" s="41">
        <v>60</v>
      </c>
      <c r="G241" s="47">
        <v>19860</v>
      </c>
      <c r="H241" s="50"/>
    </row>
    <row r="242" spans="1:8" ht="91.5" thickBot="1">
      <c r="A242" s="36"/>
      <c r="B242" s="43"/>
      <c r="C242" s="13" t="s">
        <v>241</v>
      </c>
      <c r="D242" s="46"/>
      <c r="E242" s="54"/>
      <c r="F242" s="43"/>
      <c r="G242" s="49"/>
      <c r="H242" s="51"/>
    </row>
    <row r="243" spans="1:8" ht="23.25">
      <c r="A243" s="34">
        <v>9</v>
      </c>
      <c r="B243" s="41">
        <v>10703004004</v>
      </c>
      <c r="C243" s="19" t="s">
        <v>242</v>
      </c>
      <c r="D243" s="44" t="s">
        <v>238</v>
      </c>
      <c r="E243" s="60">
        <v>246</v>
      </c>
      <c r="F243" s="41">
        <v>130</v>
      </c>
      <c r="G243" s="47">
        <v>31980</v>
      </c>
      <c r="H243" s="50"/>
    </row>
    <row r="244" spans="1:8" ht="91.5" thickBot="1">
      <c r="A244" s="36"/>
      <c r="B244" s="43"/>
      <c r="C244" s="13" t="s">
        <v>243</v>
      </c>
      <c r="D244" s="46"/>
      <c r="E244" s="54"/>
      <c r="F244" s="43"/>
      <c r="G244" s="49"/>
      <c r="H244" s="51"/>
    </row>
    <row r="245" spans="1:8">
      <c r="A245" s="34">
        <v>10</v>
      </c>
      <c r="B245" s="41">
        <v>10703004005</v>
      </c>
      <c r="C245" s="19" t="s">
        <v>244</v>
      </c>
      <c r="D245" s="44" t="s">
        <v>238</v>
      </c>
      <c r="E245" s="60">
        <v>39.92</v>
      </c>
      <c r="F245" s="41">
        <v>12.57</v>
      </c>
      <c r="G245" s="47">
        <v>501.79</v>
      </c>
      <c r="H245" s="50"/>
    </row>
    <row r="246" spans="1:8" ht="23.25">
      <c r="A246" s="35"/>
      <c r="B246" s="42"/>
      <c r="C246" s="19" t="s">
        <v>245</v>
      </c>
      <c r="D246" s="45"/>
      <c r="E246" s="53"/>
      <c r="F246" s="42"/>
      <c r="G246" s="48"/>
      <c r="H246" s="32"/>
    </row>
    <row r="247" spans="1:8" ht="46.5" thickBot="1">
      <c r="A247" s="36"/>
      <c r="B247" s="43"/>
      <c r="C247" s="13" t="s">
        <v>246</v>
      </c>
      <c r="D247" s="46"/>
      <c r="E247" s="54"/>
      <c r="F247" s="43"/>
      <c r="G247" s="49"/>
      <c r="H247" s="51"/>
    </row>
    <row r="248" spans="1:8">
      <c r="A248" s="34">
        <v>11</v>
      </c>
      <c r="B248" s="41">
        <v>10703004006</v>
      </c>
      <c r="C248" s="19" t="s">
        <v>244</v>
      </c>
      <c r="D248" s="44" t="s">
        <v>238</v>
      </c>
      <c r="E248" s="60">
        <v>555.08000000000004</v>
      </c>
      <c r="F248" s="41">
        <v>12.85</v>
      </c>
      <c r="G248" s="47">
        <v>7132.78</v>
      </c>
      <c r="H248" s="50"/>
    </row>
    <row r="249" spans="1:8" ht="46.5" thickBot="1">
      <c r="A249" s="36"/>
      <c r="B249" s="43"/>
      <c r="C249" s="13" t="s">
        <v>247</v>
      </c>
      <c r="D249" s="46"/>
      <c r="E249" s="54"/>
      <c r="F249" s="43"/>
      <c r="G249" s="49"/>
      <c r="H249" s="51"/>
    </row>
    <row r="250" spans="1:8" ht="23.25">
      <c r="A250" s="34">
        <v>12</v>
      </c>
      <c r="B250" s="41">
        <v>10703004007</v>
      </c>
      <c r="C250" s="19" t="s">
        <v>248</v>
      </c>
      <c r="D250" s="44" t="s">
        <v>238</v>
      </c>
      <c r="E250" s="60">
        <v>38.119999999999997</v>
      </c>
      <c r="F250" s="41">
        <v>50</v>
      </c>
      <c r="G250" s="47">
        <v>1906</v>
      </c>
      <c r="H250" s="50"/>
    </row>
    <row r="251" spans="1:8" ht="23.25">
      <c r="A251" s="35"/>
      <c r="B251" s="42"/>
      <c r="C251" s="19" t="s">
        <v>249</v>
      </c>
      <c r="D251" s="45"/>
      <c r="E251" s="53"/>
      <c r="F251" s="42"/>
      <c r="G251" s="48"/>
      <c r="H251" s="32"/>
    </row>
    <row r="252" spans="1:8" ht="23.25">
      <c r="A252" s="35"/>
      <c r="B252" s="42"/>
      <c r="C252" s="19" t="s">
        <v>250</v>
      </c>
      <c r="D252" s="45"/>
      <c r="E252" s="53"/>
      <c r="F252" s="42"/>
      <c r="G252" s="48"/>
      <c r="H252" s="32"/>
    </row>
    <row r="253" spans="1:8" ht="23.25">
      <c r="A253" s="35"/>
      <c r="B253" s="42"/>
      <c r="C253" s="19" t="s">
        <v>251</v>
      </c>
      <c r="D253" s="45"/>
      <c r="E253" s="53"/>
      <c r="F253" s="42"/>
      <c r="G253" s="48"/>
      <c r="H253" s="32"/>
    </row>
    <row r="254" spans="1:8" ht="46.5" thickBot="1">
      <c r="A254" s="36"/>
      <c r="B254" s="43"/>
      <c r="C254" s="13" t="s">
        <v>252</v>
      </c>
      <c r="D254" s="46"/>
      <c r="E254" s="54"/>
      <c r="F254" s="43"/>
      <c r="G254" s="49"/>
      <c r="H254" s="51"/>
    </row>
    <row r="255" spans="1:8" ht="23.25">
      <c r="A255" s="34">
        <v>13</v>
      </c>
      <c r="B255" s="41">
        <v>10703004008</v>
      </c>
      <c r="C255" s="19" t="s">
        <v>248</v>
      </c>
      <c r="D255" s="44" t="s">
        <v>238</v>
      </c>
      <c r="E255" s="60">
        <v>38.119999999999997</v>
      </c>
      <c r="F255" s="41">
        <v>12.57</v>
      </c>
      <c r="G255" s="47">
        <v>479.17</v>
      </c>
      <c r="H255" s="50"/>
    </row>
    <row r="256" spans="1:8" ht="35.25" thickBot="1">
      <c r="A256" s="36"/>
      <c r="B256" s="43"/>
      <c r="C256" s="13" t="s">
        <v>253</v>
      </c>
      <c r="D256" s="46"/>
      <c r="E256" s="54"/>
      <c r="F256" s="43"/>
      <c r="G256" s="49"/>
      <c r="H256" s="51"/>
    </row>
    <row r="257" spans="1:14" ht="35.25" thickBot="1">
      <c r="A257" s="3"/>
      <c r="B257" s="12" t="s">
        <v>254</v>
      </c>
      <c r="C257" s="13" t="s">
        <v>255</v>
      </c>
      <c r="D257" s="13"/>
      <c r="E257" s="12"/>
      <c r="F257" s="12"/>
      <c r="G257" s="14"/>
      <c r="H257" s="15"/>
    </row>
    <row r="258" spans="1:14" ht="23.25">
      <c r="A258" s="34">
        <v>1</v>
      </c>
      <c r="B258" s="41">
        <v>10803001001</v>
      </c>
      <c r="C258" s="19" t="s">
        <v>256</v>
      </c>
      <c r="D258" s="44" t="s">
        <v>4</v>
      </c>
      <c r="E258" s="44">
        <v>4149.22</v>
      </c>
      <c r="F258" s="44">
        <v>37.090000000000003</v>
      </c>
      <c r="G258" s="47">
        <v>153894.57</v>
      </c>
      <c r="H258" s="55"/>
    </row>
    <row r="259" spans="1:14">
      <c r="A259" s="35"/>
      <c r="B259" s="42"/>
      <c r="C259" s="19" t="s">
        <v>257</v>
      </c>
      <c r="D259" s="45"/>
      <c r="E259" s="45"/>
      <c r="F259" s="45"/>
      <c r="G259" s="48"/>
      <c r="H259" s="56"/>
    </row>
    <row r="260" spans="1:14" ht="23.25">
      <c r="A260" s="35"/>
      <c r="B260" s="42"/>
      <c r="C260" s="19" t="s">
        <v>258</v>
      </c>
      <c r="D260" s="45"/>
      <c r="E260" s="45"/>
      <c r="F260" s="45"/>
      <c r="G260" s="48"/>
      <c r="H260" s="56"/>
    </row>
    <row r="261" spans="1:14" ht="46.5" thickBot="1">
      <c r="A261" s="36"/>
      <c r="B261" s="43"/>
      <c r="C261" s="13" t="s">
        <v>259</v>
      </c>
      <c r="D261" s="46"/>
      <c r="E261" s="46"/>
      <c r="F261" s="46"/>
      <c r="G261" s="49"/>
      <c r="H261" s="57"/>
    </row>
    <row r="265" spans="1:14" ht="15" thickBot="1">
      <c r="C265" s="3"/>
      <c r="D265" s="12" t="s">
        <v>262</v>
      </c>
      <c r="E265" s="13" t="s">
        <v>263</v>
      </c>
      <c r="F265" s="12"/>
      <c r="G265" s="12"/>
      <c r="H265" s="12"/>
      <c r="I265" s="14"/>
      <c r="J265" s="15"/>
      <c r="L265" t="s">
        <v>474</v>
      </c>
    </row>
    <row r="266" spans="1:14" ht="24" thickBot="1">
      <c r="C266" s="3"/>
      <c r="D266" s="12" t="s">
        <v>264</v>
      </c>
      <c r="E266" s="13" t="s">
        <v>265</v>
      </c>
      <c r="F266" s="13"/>
      <c r="G266" s="12"/>
      <c r="H266" s="12"/>
      <c r="I266" s="14"/>
      <c r="J266" s="15"/>
      <c r="L266" t="s">
        <v>133</v>
      </c>
      <c r="M266">
        <f>SUM(G290*0.1)+G298+G302+G306+G314+G318+G322+G326+G330+G335+G339+G343+G347+G351+G361*0.15+G367*0.1+G373</f>
        <v>841.09699999999998</v>
      </c>
    </row>
    <row r="267" spans="1:14" ht="23.25">
      <c r="C267" s="34">
        <v>1</v>
      </c>
      <c r="D267" s="41">
        <v>20101001001</v>
      </c>
      <c r="E267" s="19" t="s">
        <v>266</v>
      </c>
      <c r="F267" s="44" t="s">
        <v>4</v>
      </c>
      <c r="G267" s="44">
        <v>8376.9699999999993</v>
      </c>
      <c r="H267" s="52">
        <v>14.54</v>
      </c>
      <c r="I267" s="38">
        <v>121801.14</v>
      </c>
      <c r="J267" s="55"/>
    </row>
    <row r="268" spans="1:14" ht="23.25">
      <c r="C268" s="35"/>
      <c r="D268" s="42"/>
      <c r="E268" s="19" t="s">
        <v>267</v>
      </c>
      <c r="F268" s="45"/>
      <c r="G268" s="45"/>
      <c r="H268" s="53"/>
      <c r="I268" s="39"/>
      <c r="J268" s="56"/>
      <c r="L268" t="s">
        <v>134</v>
      </c>
      <c r="M268">
        <f>G379+G383+G386+G390</f>
        <v>0</v>
      </c>
      <c r="N268" t="s">
        <v>53</v>
      </c>
    </row>
    <row r="269" spans="1:14" ht="35.25" thickBot="1">
      <c r="C269" s="36"/>
      <c r="D269" s="43"/>
      <c r="E269" s="13" t="s">
        <v>268</v>
      </c>
      <c r="F269" s="46"/>
      <c r="G269" s="46"/>
      <c r="H269" s="54"/>
      <c r="I269" s="40"/>
      <c r="J269" s="57"/>
    </row>
    <row r="270" spans="1:14" ht="23.25">
      <c r="C270" s="34">
        <v>2</v>
      </c>
      <c r="D270" s="41">
        <v>20101001001</v>
      </c>
      <c r="E270" s="19" t="s">
        <v>266</v>
      </c>
      <c r="F270" s="44" t="s">
        <v>4</v>
      </c>
      <c r="G270" s="44">
        <v>802.89</v>
      </c>
      <c r="H270" s="60">
        <v>14.54</v>
      </c>
      <c r="I270" s="38">
        <v>11674.02</v>
      </c>
      <c r="J270" s="55"/>
      <c r="L270" t="s">
        <v>135</v>
      </c>
      <c r="M270">
        <f>G273*0.02+G280+G282+G355*0.02+G367*0.02+G411+0.02+G416*0.2+G420*0.1+G393*0.02+G398*0.02+G405*0.02+G443*0.005</f>
        <v>1018.3852000000001</v>
      </c>
      <c r="N270" t="s">
        <v>58</v>
      </c>
    </row>
    <row r="271" spans="1:14" ht="23.25">
      <c r="C271" s="35"/>
      <c r="D271" s="42"/>
      <c r="E271" s="19" t="s">
        <v>269</v>
      </c>
      <c r="F271" s="45"/>
      <c r="G271" s="45"/>
      <c r="H271" s="53"/>
      <c r="I271" s="39"/>
      <c r="J271" s="56"/>
    </row>
    <row r="272" spans="1:14" ht="35.25" thickBot="1">
      <c r="C272" s="36"/>
      <c r="D272" s="43"/>
      <c r="E272" s="13" t="s">
        <v>268</v>
      </c>
      <c r="F272" s="46"/>
      <c r="G272" s="46"/>
      <c r="H272" s="54"/>
      <c r="I272" s="40"/>
      <c r="J272" s="57"/>
      <c r="L272" t="s">
        <v>260</v>
      </c>
      <c r="M272">
        <f>G277+G277+G284+G287</f>
        <v>0</v>
      </c>
      <c r="N272" t="s">
        <v>58</v>
      </c>
    </row>
    <row r="273" spans="3:14">
      <c r="C273" s="34">
        <v>3</v>
      </c>
      <c r="D273" s="41">
        <v>20101005003</v>
      </c>
      <c r="E273" s="19" t="s">
        <v>270</v>
      </c>
      <c r="F273" s="44" t="s">
        <v>4</v>
      </c>
      <c r="G273" s="44">
        <v>401.5</v>
      </c>
      <c r="H273" s="60">
        <v>14.54</v>
      </c>
      <c r="I273" s="38">
        <v>5837.81</v>
      </c>
      <c r="J273" s="55"/>
    </row>
    <row r="274" spans="3:14" ht="23.25">
      <c r="C274" s="35"/>
      <c r="D274" s="42"/>
      <c r="E274" s="19" t="s">
        <v>271</v>
      </c>
      <c r="F274" s="45"/>
      <c r="G274" s="45"/>
      <c r="H274" s="53"/>
      <c r="I274" s="39"/>
      <c r="J274" s="56"/>
      <c r="L274" t="s">
        <v>261</v>
      </c>
      <c r="M274">
        <f>G280+G282</f>
        <v>144.16</v>
      </c>
      <c r="N274" t="s">
        <v>58</v>
      </c>
    </row>
    <row r="275" spans="3:14" ht="23.25">
      <c r="C275" s="35"/>
      <c r="D275" s="42"/>
      <c r="E275" s="19" t="s">
        <v>272</v>
      </c>
      <c r="F275" s="45"/>
      <c r="G275" s="45"/>
      <c r="H275" s="53"/>
      <c r="I275" s="39"/>
      <c r="J275" s="56"/>
    </row>
    <row r="276" spans="3:14" ht="34.5">
      <c r="C276" s="35"/>
      <c r="D276" s="42"/>
      <c r="E276" s="19" t="s">
        <v>273</v>
      </c>
      <c r="F276" s="45"/>
      <c r="G276" s="45"/>
      <c r="H276" s="53"/>
      <c r="I276" s="39"/>
      <c r="J276" s="56"/>
      <c r="L276" t="s">
        <v>475</v>
      </c>
      <c r="M276">
        <f>G324*3.87+G328*3.87+G333*3.87+G339*3.87+G344*3.87+G349*3.87+G354*3.87</f>
        <v>3151.2636000000002</v>
      </c>
      <c r="N276" t="s">
        <v>476</v>
      </c>
    </row>
    <row r="277" spans="3:14" ht="24" thickBot="1">
      <c r="C277" s="36"/>
      <c r="D277" s="43"/>
      <c r="E277" s="13" t="s">
        <v>274</v>
      </c>
      <c r="F277" s="46"/>
      <c r="G277" s="46"/>
      <c r="H277" s="54"/>
      <c r="I277" s="40"/>
      <c r="J277" s="57"/>
      <c r="M277">
        <f>M276/1000</f>
        <v>3.1512636000000001</v>
      </c>
      <c r="N277" t="s">
        <v>477</v>
      </c>
    </row>
    <row r="278" spans="3:14" ht="34.5">
      <c r="C278" s="34">
        <v>4</v>
      </c>
      <c r="D278" s="41">
        <v>20101005001</v>
      </c>
      <c r="E278" s="19" t="s">
        <v>275</v>
      </c>
      <c r="F278" s="44" t="s">
        <v>4</v>
      </c>
      <c r="G278" s="44">
        <v>7697.55</v>
      </c>
      <c r="H278" s="60">
        <v>14.54</v>
      </c>
      <c r="I278" s="38">
        <v>111922.38</v>
      </c>
      <c r="J278" s="55"/>
      <c r="L278" t="s">
        <v>478</v>
      </c>
      <c r="M278">
        <f>G385*3.48+G388*3.48</f>
        <v>1722.4956000000002</v>
      </c>
      <c r="N278" t="s">
        <v>476</v>
      </c>
    </row>
    <row r="279" spans="3:14" ht="46.5" thickBot="1">
      <c r="C279" s="36"/>
      <c r="D279" s="43"/>
      <c r="E279" s="13" t="s">
        <v>276</v>
      </c>
      <c r="F279" s="46"/>
      <c r="G279" s="46"/>
      <c r="H279" s="54"/>
      <c r="I279" s="40"/>
      <c r="J279" s="57"/>
    </row>
    <row r="280" spans="3:14">
      <c r="C280" s="34">
        <v>5</v>
      </c>
      <c r="D280" s="41">
        <v>20101005004</v>
      </c>
      <c r="E280" s="19" t="s">
        <v>277</v>
      </c>
      <c r="F280" s="44" t="s">
        <v>4</v>
      </c>
      <c r="G280" s="44">
        <v>144.16</v>
      </c>
      <c r="H280" s="60">
        <v>14.54</v>
      </c>
      <c r="I280" s="38">
        <v>2096.09</v>
      </c>
      <c r="J280" s="55"/>
      <c r="L280" t="s">
        <v>479</v>
      </c>
      <c r="M280">
        <f>G452*15+G457*15+G470*15+G474*15+G478*15</f>
        <v>17341.95</v>
      </c>
      <c r="N280" t="s">
        <v>476</v>
      </c>
    </row>
    <row r="281" spans="3:14">
      <c r="C281" s="35"/>
      <c r="D281" s="42"/>
      <c r="E281" s="19" t="s">
        <v>278</v>
      </c>
      <c r="F281" s="45"/>
      <c r="G281" s="45"/>
      <c r="H281" s="53"/>
      <c r="I281" s="39"/>
      <c r="J281" s="56"/>
      <c r="M281">
        <f>M280/1000</f>
        <v>17.341950000000001</v>
      </c>
      <c r="N281" t="s">
        <v>480</v>
      </c>
    </row>
    <row r="282" spans="3:14" ht="69" thickBot="1">
      <c r="C282" s="36"/>
      <c r="D282" s="43"/>
      <c r="E282" s="13" t="s">
        <v>279</v>
      </c>
      <c r="F282" s="46"/>
      <c r="G282" s="46"/>
      <c r="H282" s="54"/>
      <c r="I282" s="40"/>
      <c r="J282" s="57"/>
    </row>
    <row r="283" spans="3:14">
      <c r="C283" s="34">
        <v>6</v>
      </c>
      <c r="D283" s="41">
        <v>20101005004</v>
      </c>
      <c r="E283" s="19" t="s">
        <v>277</v>
      </c>
      <c r="F283" s="44" t="s">
        <v>4</v>
      </c>
      <c r="G283" s="44">
        <v>410.79</v>
      </c>
      <c r="H283" s="60">
        <v>29.48</v>
      </c>
      <c r="I283" s="38">
        <v>12110.09</v>
      </c>
      <c r="J283" s="55"/>
    </row>
    <row r="284" spans="3:14" ht="34.5">
      <c r="C284" s="35"/>
      <c r="D284" s="42"/>
      <c r="E284" s="19" t="s">
        <v>280</v>
      </c>
      <c r="F284" s="45"/>
      <c r="G284" s="45"/>
      <c r="H284" s="53"/>
      <c r="I284" s="39"/>
      <c r="J284" s="56"/>
    </row>
    <row r="285" spans="3:14" ht="69" thickBot="1">
      <c r="C285" s="36"/>
      <c r="D285" s="43"/>
      <c r="E285" s="13" t="s">
        <v>279</v>
      </c>
      <c r="F285" s="46"/>
      <c r="G285" s="46"/>
      <c r="H285" s="54"/>
      <c r="I285" s="40"/>
      <c r="J285" s="57"/>
    </row>
    <row r="286" spans="3:14" ht="23.25">
      <c r="C286" s="34">
        <v>7</v>
      </c>
      <c r="D286" s="41">
        <v>20101005005</v>
      </c>
      <c r="E286" s="19" t="s">
        <v>281</v>
      </c>
      <c r="F286" s="44" t="s">
        <v>4</v>
      </c>
      <c r="G286" s="44">
        <v>285.12</v>
      </c>
      <c r="H286" s="60">
        <v>11.39</v>
      </c>
      <c r="I286" s="38">
        <v>3247.52</v>
      </c>
      <c r="J286" s="55"/>
    </row>
    <row r="287" spans="3:14" ht="35.25" thickBot="1">
      <c r="C287" s="36"/>
      <c r="D287" s="43"/>
      <c r="E287" s="13" t="s">
        <v>282</v>
      </c>
      <c r="F287" s="46"/>
      <c r="G287" s="46"/>
      <c r="H287" s="54"/>
      <c r="I287" s="40"/>
      <c r="J287" s="57"/>
    </row>
    <row r="288" spans="3:14" ht="23.25">
      <c r="C288" s="34">
        <v>8</v>
      </c>
      <c r="D288" s="41">
        <v>20101005006</v>
      </c>
      <c r="E288" s="19" t="s">
        <v>283</v>
      </c>
      <c r="F288" s="44" t="s">
        <v>4</v>
      </c>
      <c r="G288" s="44">
        <v>1355.72</v>
      </c>
      <c r="H288" s="60">
        <v>18.079999999999998</v>
      </c>
      <c r="I288" s="38">
        <v>24511.42</v>
      </c>
      <c r="J288" s="55"/>
    </row>
    <row r="289" spans="3:10" ht="35.25" thickBot="1">
      <c r="C289" s="36"/>
      <c r="D289" s="43"/>
      <c r="E289" s="13" t="s">
        <v>284</v>
      </c>
      <c r="F289" s="46"/>
      <c r="G289" s="46"/>
      <c r="H289" s="54"/>
      <c r="I289" s="40"/>
      <c r="J289" s="57"/>
    </row>
    <row r="290" spans="3:10">
      <c r="C290" s="34">
        <v>9</v>
      </c>
      <c r="D290" s="37">
        <v>20102002019</v>
      </c>
      <c r="E290" s="6" t="s">
        <v>285</v>
      </c>
      <c r="F290" s="37" t="s">
        <v>4</v>
      </c>
      <c r="G290" s="37">
        <v>8376.9699999999993</v>
      </c>
      <c r="H290" s="34">
        <v>64.010000000000005</v>
      </c>
      <c r="I290" s="38">
        <v>536209.85</v>
      </c>
      <c r="J290" s="61"/>
    </row>
    <row r="291" spans="3:10" ht="57">
      <c r="C291" s="35"/>
      <c r="D291" s="35"/>
      <c r="E291" s="6" t="s">
        <v>286</v>
      </c>
      <c r="F291" s="35"/>
      <c r="G291" s="35"/>
      <c r="H291" s="35"/>
      <c r="I291" s="39"/>
      <c r="J291" s="62"/>
    </row>
    <row r="292" spans="3:10" ht="45.75">
      <c r="C292" s="35"/>
      <c r="D292" s="35"/>
      <c r="E292" s="6" t="s">
        <v>287</v>
      </c>
      <c r="F292" s="35"/>
      <c r="G292" s="35"/>
      <c r="H292" s="35"/>
      <c r="I292" s="39"/>
      <c r="J292" s="62"/>
    </row>
    <row r="293" spans="3:10" ht="57">
      <c r="C293" s="35"/>
      <c r="D293" s="35"/>
      <c r="E293" s="6" t="s">
        <v>288</v>
      </c>
      <c r="F293" s="35"/>
      <c r="G293" s="35"/>
      <c r="H293" s="35"/>
      <c r="I293" s="39"/>
      <c r="J293" s="62"/>
    </row>
    <row r="294" spans="3:10" ht="24" thickBot="1">
      <c r="C294" s="36"/>
      <c r="D294" s="36"/>
      <c r="E294" s="4" t="s">
        <v>289</v>
      </c>
      <c r="F294" s="36"/>
      <c r="G294" s="36"/>
      <c r="H294" s="36"/>
      <c r="I294" s="40"/>
      <c r="J294" s="63"/>
    </row>
    <row r="295" spans="3:10" ht="34.5">
      <c r="C295" s="34">
        <v>10</v>
      </c>
      <c r="D295" s="34">
        <v>20102002013</v>
      </c>
      <c r="E295" s="6" t="s">
        <v>290</v>
      </c>
      <c r="F295" s="34" t="s">
        <v>4</v>
      </c>
      <c r="G295" s="34">
        <v>626.46</v>
      </c>
      <c r="H295" s="34">
        <v>54.29</v>
      </c>
      <c r="I295" s="38">
        <v>34010.51</v>
      </c>
      <c r="J295" s="61"/>
    </row>
    <row r="296" spans="3:10" ht="45.75">
      <c r="C296" s="35"/>
      <c r="D296" s="35"/>
      <c r="E296" s="6" t="s">
        <v>291</v>
      </c>
      <c r="F296" s="35"/>
      <c r="G296" s="35"/>
      <c r="H296" s="35"/>
      <c r="I296" s="39"/>
      <c r="J296" s="62"/>
    </row>
    <row r="297" spans="3:10" ht="57">
      <c r="C297" s="35"/>
      <c r="D297" s="35"/>
      <c r="E297" s="6" t="s">
        <v>292</v>
      </c>
      <c r="F297" s="35"/>
      <c r="G297" s="35"/>
      <c r="H297" s="35"/>
      <c r="I297" s="39"/>
      <c r="J297" s="62"/>
    </row>
    <row r="298" spans="3:10" ht="24" thickBot="1">
      <c r="C298" s="36"/>
      <c r="D298" s="36"/>
      <c r="E298" s="4" t="s">
        <v>289</v>
      </c>
      <c r="F298" s="36"/>
      <c r="G298" s="36"/>
      <c r="H298" s="36"/>
      <c r="I298" s="40"/>
      <c r="J298" s="63"/>
    </row>
    <row r="299" spans="3:10" ht="23.25">
      <c r="C299" s="34">
        <v>11</v>
      </c>
      <c r="D299" s="34">
        <v>20106002002</v>
      </c>
      <c r="E299" s="6" t="s">
        <v>293</v>
      </c>
      <c r="F299" s="34" t="s">
        <v>4</v>
      </c>
      <c r="G299" s="59">
        <v>802.89</v>
      </c>
      <c r="H299" s="60">
        <v>106.5</v>
      </c>
      <c r="I299" s="38">
        <v>85507.79</v>
      </c>
      <c r="J299" s="61"/>
    </row>
    <row r="300" spans="3:10" ht="45.75">
      <c r="C300" s="35"/>
      <c r="D300" s="35"/>
      <c r="E300" s="6" t="s">
        <v>294</v>
      </c>
      <c r="F300" s="35"/>
      <c r="G300" s="42"/>
      <c r="H300" s="53"/>
      <c r="I300" s="39"/>
      <c r="J300" s="62"/>
    </row>
    <row r="301" spans="3:10" ht="57">
      <c r="C301" s="35"/>
      <c r="D301" s="35"/>
      <c r="E301" s="6" t="s">
        <v>295</v>
      </c>
      <c r="F301" s="35"/>
      <c r="G301" s="42"/>
      <c r="H301" s="53"/>
      <c r="I301" s="39"/>
      <c r="J301" s="62"/>
    </row>
    <row r="302" spans="3:10" ht="24" thickBot="1">
      <c r="C302" s="36"/>
      <c r="D302" s="36"/>
      <c r="E302" s="4" t="s">
        <v>296</v>
      </c>
      <c r="F302" s="36"/>
      <c r="G302" s="43"/>
      <c r="H302" s="54"/>
      <c r="I302" s="40"/>
      <c r="J302" s="63"/>
    </row>
    <row r="303" spans="3:10" ht="34.5">
      <c r="C303" s="34">
        <v>12</v>
      </c>
      <c r="D303" s="59">
        <v>20102002002</v>
      </c>
      <c r="E303" s="19" t="s">
        <v>297</v>
      </c>
      <c r="F303" s="58" t="s">
        <v>4</v>
      </c>
      <c r="G303" s="44">
        <v>4188.1899999999996</v>
      </c>
      <c r="H303" s="60">
        <v>54.28</v>
      </c>
      <c r="I303" s="38">
        <v>227334.95</v>
      </c>
      <c r="J303" s="55"/>
    </row>
    <row r="304" spans="3:10" ht="45.75">
      <c r="C304" s="35"/>
      <c r="D304" s="42"/>
      <c r="E304" s="19" t="s">
        <v>298</v>
      </c>
      <c r="F304" s="45"/>
      <c r="G304" s="45"/>
      <c r="H304" s="53"/>
      <c r="I304" s="39"/>
      <c r="J304" s="56"/>
    </row>
    <row r="305" spans="3:10" ht="57">
      <c r="C305" s="35"/>
      <c r="D305" s="42"/>
      <c r="E305" s="19" t="s">
        <v>299</v>
      </c>
      <c r="F305" s="45"/>
      <c r="G305" s="45"/>
      <c r="H305" s="53"/>
      <c r="I305" s="39"/>
      <c r="J305" s="56"/>
    </row>
    <row r="306" spans="3:10" ht="46.5" thickBot="1">
      <c r="C306" s="36"/>
      <c r="D306" s="43"/>
      <c r="E306" s="13" t="s">
        <v>300</v>
      </c>
      <c r="F306" s="46"/>
      <c r="G306" s="46"/>
      <c r="H306" s="54"/>
      <c r="I306" s="40"/>
      <c r="J306" s="57"/>
    </row>
    <row r="307" spans="3:10" ht="34.5">
      <c r="C307" s="34">
        <v>13</v>
      </c>
      <c r="D307" s="41">
        <v>20105003004</v>
      </c>
      <c r="E307" s="19" t="s">
        <v>301</v>
      </c>
      <c r="F307" s="44" t="s">
        <v>4</v>
      </c>
      <c r="G307" s="44">
        <v>156.13</v>
      </c>
      <c r="H307" s="60">
        <v>151.91</v>
      </c>
      <c r="I307" s="38">
        <v>23717.71</v>
      </c>
      <c r="J307" s="55"/>
    </row>
    <row r="308" spans="3:10" ht="23.25">
      <c r="C308" s="35"/>
      <c r="D308" s="42"/>
      <c r="E308" s="19" t="s">
        <v>302</v>
      </c>
      <c r="F308" s="45"/>
      <c r="G308" s="45"/>
      <c r="H308" s="53"/>
      <c r="I308" s="39"/>
      <c r="J308" s="56"/>
    </row>
    <row r="309" spans="3:10" ht="45.75">
      <c r="C309" s="35"/>
      <c r="D309" s="42"/>
      <c r="E309" s="19" t="s">
        <v>303</v>
      </c>
      <c r="F309" s="45"/>
      <c r="G309" s="45"/>
      <c r="H309" s="53"/>
      <c r="I309" s="39"/>
      <c r="J309" s="56"/>
    </row>
    <row r="310" spans="3:10" ht="35.25" thickBot="1">
      <c r="C310" s="36"/>
      <c r="D310" s="43"/>
      <c r="E310" s="13" t="s">
        <v>304</v>
      </c>
      <c r="F310" s="46"/>
      <c r="G310" s="46"/>
      <c r="H310" s="54"/>
      <c r="I310" s="40"/>
      <c r="J310" s="57"/>
    </row>
    <row r="311" spans="3:10" ht="45.75">
      <c r="C311" s="34">
        <v>14</v>
      </c>
      <c r="D311" s="37">
        <v>20105003005</v>
      </c>
      <c r="E311" s="6" t="s">
        <v>305</v>
      </c>
      <c r="F311" s="37" t="s">
        <v>4</v>
      </c>
      <c r="G311" s="37">
        <v>245.38</v>
      </c>
      <c r="H311" s="34">
        <v>99.35</v>
      </c>
      <c r="I311" s="38">
        <v>24378.5</v>
      </c>
      <c r="J311" s="61"/>
    </row>
    <row r="312" spans="3:10" ht="45.75">
      <c r="C312" s="35"/>
      <c r="D312" s="35"/>
      <c r="E312" s="6" t="s">
        <v>306</v>
      </c>
      <c r="F312" s="35"/>
      <c r="G312" s="35"/>
      <c r="H312" s="35"/>
      <c r="I312" s="39"/>
      <c r="J312" s="62"/>
    </row>
    <row r="313" spans="3:10" ht="45.75">
      <c r="C313" s="35"/>
      <c r="D313" s="35"/>
      <c r="E313" s="6" t="s">
        <v>307</v>
      </c>
      <c r="F313" s="35"/>
      <c r="G313" s="35"/>
      <c r="H313" s="35"/>
      <c r="I313" s="39"/>
      <c r="J313" s="62"/>
    </row>
    <row r="314" spans="3:10" ht="34.5">
      <c r="C314" s="35"/>
      <c r="D314" s="35"/>
      <c r="E314" s="6" t="s">
        <v>308</v>
      </c>
      <c r="F314" s="35"/>
      <c r="G314" s="35"/>
      <c r="H314" s="35"/>
      <c r="I314" s="39"/>
      <c r="J314" s="62"/>
    </row>
    <row r="315" spans="3:10" ht="24" thickBot="1">
      <c r="C315" s="36"/>
      <c r="D315" s="36"/>
      <c r="E315" s="4" t="s">
        <v>296</v>
      </c>
      <c r="F315" s="36"/>
      <c r="G315" s="36"/>
      <c r="H315" s="36"/>
      <c r="I315" s="40"/>
      <c r="J315" s="63"/>
    </row>
    <row r="316" spans="3:10" ht="23.25">
      <c r="C316" s="34">
        <v>15</v>
      </c>
      <c r="D316" s="34">
        <v>20105003008</v>
      </c>
      <c r="E316" s="6" t="s">
        <v>309</v>
      </c>
      <c r="F316" s="34" t="s">
        <v>4</v>
      </c>
      <c r="G316" s="34">
        <v>170.52</v>
      </c>
      <c r="H316" s="34">
        <v>80.2</v>
      </c>
      <c r="I316" s="38">
        <v>13675.7</v>
      </c>
      <c r="J316" s="61"/>
    </row>
    <row r="317" spans="3:10" ht="45.75">
      <c r="C317" s="35"/>
      <c r="D317" s="35"/>
      <c r="E317" s="6" t="s">
        <v>310</v>
      </c>
      <c r="F317" s="35"/>
      <c r="G317" s="35"/>
      <c r="H317" s="35"/>
      <c r="I317" s="39"/>
      <c r="J317" s="62"/>
    </row>
    <row r="318" spans="3:10" ht="57">
      <c r="C318" s="35"/>
      <c r="D318" s="35"/>
      <c r="E318" s="6" t="s">
        <v>311</v>
      </c>
      <c r="F318" s="35"/>
      <c r="G318" s="35"/>
      <c r="H318" s="35"/>
      <c r="I318" s="39"/>
      <c r="J318" s="62"/>
    </row>
    <row r="319" spans="3:10" ht="24" thickBot="1">
      <c r="C319" s="36"/>
      <c r="D319" s="36"/>
      <c r="E319" s="4" t="s">
        <v>289</v>
      </c>
      <c r="F319" s="36"/>
      <c r="G319" s="36"/>
      <c r="H319" s="36"/>
      <c r="I319" s="40"/>
      <c r="J319" s="63"/>
    </row>
    <row r="320" spans="3:10" ht="23.25">
      <c r="C320" s="34">
        <v>16</v>
      </c>
      <c r="D320" s="34">
        <v>20105003005</v>
      </c>
      <c r="E320" s="6" t="s">
        <v>312</v>
      </c>
      <c r="F320" s="34" t="s">
        <v>4</v>
      </c>
      <c r="G320" s="34">
        <v>31.23</v>
      </c>
      <c r="H320" s="34">
        <v>99.24</v>
      </c>
      <c r="I320" s="38">
        <v>3099.27</v>
      </c>
      <c r="J320" s="61"/>
    </row>
    <row r="321" spans="3:10" ht="45.75">
      <c r="C321" s="35"/>
      <c r="D321" s="35"/>
      <c r="E321" s="6" t="s">
        <v>306</v>
      </c>
      <c r="F321" s="35"/>
      <c r="G321" s="35"/>
      <c r="H321" s="35"/>
      <c r="I321" s="39"/>
      <c r="J321" s="62"/>
    </row>
    <row r="322" spans="3:10" ht="57">
      <c r="C322" s="35"/>
      <c r="D322" s="35"/>
      <c r="E322" s="6" t="s">
        <v>313</v>
      </c>
      <c r="F322" s="35"/>
      <c r="G322" s="35"/>
      <c r="H322" s="35"/>
      <c r="I322" s="39"/>
      <c r="J322" s="62"/>
    </row>
    <row r="323" spans="3:10" ht="24" thickBot="1">
      <c r="C323" s="36"/>
      <c r="D323" s="36"/>
      <c r="E323" s="4" t="s">
        <v>289</v>
      </c>
      <c r="F323" s="36"/>
      <c r="G323" s="36"/>
      <c r="H323" s="36"/>
      <c r="I323" s="40"/>
      <c r="J323" s="63"/>
    </row>
    <row r="324" spans="3:10" ht="23.25">
      <c r="C324" s="34">
        <v>17</v>
      </c>
      <c r="D324" s="59">
        <v>20107001001</v>
      </c>
      <c r="E324" s="19" t="s">
        <v>314</v>
      </c>
      <c r="F324" s="58" t="s">
        <v>238</v>
      </c>
      <c r="G324" s="58">
        <v>38.119999999999997</v>
      </c>
      <c r="H324" s="60">
        <v>110.91</v>
      </c>
      <c r="I324" s="38">
        <v>4227.8900000000003</v>
      </c>
      <c r="J324" s="55"/>
    </row>
    <row r="325" spans="3:10" ht="23.25">
      <c r="C325" s="35"/>
      <c r="D325" s="42"/>
      <c r="E325" s="19" t="s">
        <v>315</v>
      </c>
      <c r="F325" s="45"/>
      <c r="G325" s="45"/>
      <c r="H325" s="53"/>
      <c r="I325" s="39"/>
      <c r="J325" s="56"/>
    </row>
    <row r="326" spans="3:10" ht="34.5">
      <c r="C326" s="35"/>
      <c r="D326" s="42"/>
      <c r="E326" s="19" t="s">
        <v>316</v>
      </c>
      <c r="F326" s="45"/>
      <c r="G326" s="45"/>
      <c r="H326" s="53"/>
      <c r="I326" s="39"/>
      <c r="J326" s="56"/>
    </row>
    <row r="327" spans="3:10" ht="147.75" thickBot="1">
      <c r="C327" s="36"/>
      <c r="D327" s="43"/>
      <c r="E327" s="13" t="s">
        <v>317</v>
      </c>
      <c r="F327" s="46"/>
      <c r="G327" s="46"/>
      <c r="H327" s="54"/>
      <c r="I327" s="40"/>
      <c r="J327" s="57"/>
    </row>
    <row r="328" spans="3:10" ht="23.25">
      <c r="C328" s="34">
        <v>18</v>
      </c>
      <c r="D328" s="41">
        <v>20107001001</v>
      </c>
      <c r="E328" s="19" t="s">
        <v>318</v>
      </c>
      <c r="F328" s="44" t="s">
        <v>238</v>
      </c>
      <c r="G328" s="44">
        <v>27.36</v>
      </c>
      <c r="H328" s="60">
        <v>80.91</v>
      </c>
      <c r="I328" s="38">
        <v>2213.6999999999998</v>
      </c>
      <c r="J328" s="55"/>
    </row>
    <row r="329" spans="3:10" ht="23.25">
      <c r="C329" s="35"/>
      <c r="D329" s="42"/>
      <c r="E329" s="19" t="s">
        <v>319</v>
      </c>
      <c r="F329" s="45"/>
      <c r="G329" s="45"/>
      <c r="H329" s="53"/>
      <c r="I329" s="39"/>
      <c r="J329" s="56"/>
    </row>
    <row r="330" spans="3:10" ht="79.5">
      <c r="C330" s="35"/>
      <c r="D330" s="42"/>
      <c r="E330" s="19" t="s">
        <v>320</v>
      </c>
      <c r="F330" s="45"/>
      <c r="G330" s="45"/>
      <c r="H330" s="53"/>
      <c r="I330" s="39"/>
      <c r="J330" s="56"/>
    </row>
    <row r="331" spans="3:10" ht="57">
      <c r="C331" s="35"/>
      <c r="D331" s="42"/>
      <c r="E331" s="19" t="s">
        <v>321</v>
      </c>
      <c r="F331" s="45"/>
      <c r="G331" s="45"/>
      <c r="H331" s="53"/>
      <c r="I331" s="39"/>
      <c r="J331" s="56"/>
    </row>
    <row r="332" spans="3:10" ht="114" thickBot="1">
      <c r="C332" s="36"/>
      <c r="D332" s="43"/>
      <c r="E332" s="13" t="s">
        <v>322</v>
      </c>
      <c r="F332" s="46"/>
      <c r="G332" s="46"/>
      <c r="H332" s="54"/>
      <c r="I332" s="40"/>
      <c r="J332" s="57"/>
    </row>
    <row r="333" spans="3:10" ht="23.25">
      <c r="C333" s="34">
        <v>19</v>
      </c>
      <c r="D333" s="41">
        <v>20107001001</v>
      </c>
      <c r="E333" s="19" t="s">
        <v>323</v>
      </c>
      <c r="F333" s="44" t="s">
        <v>238</v>
      </c>
      <c r="G333" s="44">
        <v>3.4</v>
      </c>
      <c r="H333" s="60">
        <v>97.13</v>
      </c>
      <c r="I333" s="38">
        <v>330.24</v>
      </c>
      <c r="J333" s="55"/>
    </row>
    <row r="334" spans="3:10" ht="23.25">
      <c r="C334" s="35"/>
      <c r="D334" s="42"/>
      <c r="E334" s="19" t="s">
        <v>324</v>
      </c>
      <c r="F334" s="45"/>
      <c r="G334" s="45"/>
      <c r="H334" s="53"/>
      <c r="I334" s="39"/>
      <c r="J334" s="56"/>
    </row>
    <row r="335" spans="3:10" ht="79.5">
      <c r="C335" s="35"/>
      <c r="D335" s="42"/>
      <c r="E335" s="19" t="s">
        <v>325</v>
      </c>
      <c r="F335" s="45"/>
      <c r="G335" s="45"/>
      <c r="H335" s="53"/>
      <c r="I335" s="39"/>
      <c r="J335" s="56"/>
    </row>
    <row r="336" spans="3:10" ht="57">
      <c r="C336" s="35"/>
      <c r="D336" s="42"/>
      <c r="E336" s="19" t="s">
        <v>321</v>
      </c>
      <c r="F336" s="45"/>
      <c r="G336" s="45"/>
      <c r="H336" s="53"/>
      <c r="I336" s="39"/>
      <c r="J336" s="56"/>
    </row>
    <row r="337" spans="3:10" ht="68.25">
      <c r="C337" s="35"/>
      <c r="D337" s="42"/>
      <c r="E337" s="19" t="s">
        <v>326</v>
      </c>
      <c r="F337" s="45"/>
      <c r="G337" s="45"/>
      <c r="H337" s="53"/>
      <c r="I337" s="39"/>
      <c r="J337" s="56"/>
    </row>
    <row r="338" spans="3:10" ht="46.5" thickBot="1">
      <c r="C338" s="36"/>
      <c r="D338" s="43"/>
      <c r="E338" s="13" t="s">
        <v>327</v>
      </c>
      <c r="F338" s="46"/>
      <c r="G338" s="46"/>
      <c r="H338" s="54"/>
      <c r="I338" s="40"/>
      <c r="J338" s="57"/>
    </row>
    <row r="339" spans="3:10" ht="23.25">
      <c r="C339" s="34">
        <v>20</v>
      </c>
      <c r="D339" s="41">
        <v>20107001001</v>
      </c>
      <c r="E339" s="19" t="s">
        <v>323</v>
      </c>
      <c r="F339" s="44" t="s">
        <v>238</v>
      </c>
      <c r="G339" s="44">
        <v>3.4</v>
      </c>
      <c r="H339" s="60">
        <v>100.93</v>
      </c>
      <c r="I339" s="38">
        <v>343.16</v>
      </c>
      <c r="J339" s="55"/>
    </row>
    <row r="340" spans="3:10" ht="23.25">
      <c r="C340" s="35"/>
      <c r="D340" s="42"/>
      <c r="E340" s="19" t="s">
        <v>328</v>
      </c>
      <c r="F340" s="45"/>
      <c r="G340" s="45"/>
      <c r="H340" s="53"/>
      <c r="I340" s="39"/>
      <c r="J340" s="56"/>
    </row>
    <row r="341" spans="3:10" ht="90.75">
      <c r="C341" s="35"/>
      <c r="D341" s="42"/>
      <c r="E341" s="19" t="s">
        <v>329</v>
      </c>
      <c r="F341" s="45"/>
      <c r="G341" s="45"/>
      <c r="H341" s="53"/>
      <c r="I341" s="39"/>
      <c r="J341" s="56"/>
    </row>
    <row r="342" spans="3:10" ht="57">
      <c r="C342" s="35"/>
      <c r="D342" s="42"/>
      <c r="E342" s="19" t="s">
        <v>321</v>
      </c>
      <c r="F342" s="45"/>
      <c r="G342" s="45"/>
      <c r="H342" s="53"/>
      <c r="I342" s="39"/>
      <c r="J342" s="56"/>
    </row>
    <row r="343" spans="3:10" ht="114" thickBot="1">
      <c r="C343" s="36"/>
      <c r="D343" s="43"/>
      <c r="E343" s="13" t="s">
        <v>330</v>
      </c>
      <c r="F343" s="46"/>
      <c r="G343" s="46"/>
      <c r="H343" s="54"/>
      <c r="I343" s="40"/>
      <c r="J343" s="57"/>
    </row>
    <row r="344" spans="3:10" ht="23.25">
      <c r="C344" s="34">
        <v>21</v>
      </c>
      <c r="D344" s="41">
        <v>20107001001</v>
      </c>
      <c r="E344" s="19" t="s">
        <v>323</v>
      </c>
      <c r="F344" s="44" t="s">
        <v>238</v>
      </c>
      <c r="G344" s="44">
        <v>388.8</v>
      </c>
      <c r="H344" s="60">
        <v>104.46</v>
      </c>
      <c r="I344" s="38">
        <v>40614.050000000003</v>
      </c>
      <c r="J344" s="55"/>
    </row>
    <row r="345" spans="3:10" ht="23.25">
      <c r="C345" s="35"/>
      <c r="D345" s="42"/>
      <c r="E345" s="19" t="s">
        <v>331</v>
      </c>
      <c r="F345" s="45"/>
      <c r="G345" s="45"/>
      <c r="H345" s="53"/>
      <c r="I345" s="39"/>
      <c r="J345" s="56"/>
    </row>
    <row r="346" spans="3:10" ht="90.75">
      <c r="C346" s="35"/>
      <c r="D346" s="42"/>
      <c r="E346" s="19" t="s">
        <v>332</v>
      </c>
      <c r="F346" s="45"/>
      <c r="G346" s="45"/>
      <c r="H346" s="53"/>
      <c r="I346" s="39"/>
      <c r="J346" s="56"/>
    </row>
    <row r="347" spans="3:10" ht="57">
      <c r="C347" s="35"/>
      <c r="D347" s="42"/>
      <c r="E347" s="19" t="s">
        <v>333</v>
      </c>
      <c r="F347" s="45"/>
      <c r="G347" s="45"/>
      <c r="H347" s="53"/>
      <c r="I347" s="39"/>
      <c r="J347" s="56"/>
    </row>
    <row r="348" spans="3:10" ht="114" thickBot="1">
      <c r="C348" s="36"/>
      <c r="D348" s="43"/>
      <c r="E348" s="13" t="s">
        <v>334</v>
      </c>
      <c r="F348" s="46"/>
      <c r="G348" s="46"/>
      <c r="H348" s="54"/>
      <c r="I348" s="40"/>
      <c r="J348" s="57"/>
    </row>
    <row r="349" spans="3:10" ht="23.25">
      <c r="C349" s="34">
        <v>22</v>
      </c>
      <c r="D349" s="41">
        <v>20107001001</v>
      </c>
      <c r="E349" s="19" t="s">
        <v>323</v>
      </c>
      <c r="F349" s="44" t="s">
        <v>238</v>
      </c>
      <c r="G349" s="44">
        <v>10.199999999999999</v>
      </c>
      <c r="H349" s="60">
        <v>104.57</v>
      </c>
      <c r="I349" s="38">
        <v>1066.6099999999999</v>
      </c>
      <c r="J349" s="55"/>
    </row>
    <row r="350" spans="3:10" ht="23.25">
      <c r="C350" s="35"/>
      <c r="D350" s="42"/>
      <c r="E350" s="19" t="s">
        <v>315</v>
      </c>
      <c r="F350" s="45"/>
      <c r="G350" s="45"/>
      <c r="H350" s="53"/>
      <c r="I350" s="39"/>
      <c r="J350" s="56"/>
    </row>
    <row r="351" spans="3:10" ht="90.75">
      <c r="C351" s="35"/>
      <c r="D351" s="42"/>
      <c r="E351" s="19" t="s">
        <v>335</v>
      </c>
      <c r="F351" s="45"/>
      <c r="G351" s="45"/>
      <c r="H351" s="53"/>
      <c r="I351" s="39"/>
      <c r="J351" s="56"/>
    </row>
    <row r="352" spans="3:10" ht="57">
      <c r="C352" s="35"/>
      <c r="D352" s="42"/>
      <c r="E352" s="19" t="s">
        <v>321</v>
      </c>
      <c r="F352" s="45"/>
      <c r="G352" s="45"/>
      <c r="H352" s="53"/>
      <c r="I352" s="39"/>
      <c r="J352" s="56"/>
    </row>
    <row r="353" spans="3:10" ht="114" thickBot="1">
      <c r="C353" s="36"/>
      <c r="D353" s="43"/>
      <c r="E353" s="13" t="s">
        <v>336</v>
      </c>
      <c r="F353" s="46"/>
      <c r="G353" s="46"/>
      <c r="H353" s="54"/>
      <c r="I353" s="40"/>
      <c r="J353" s="57"/>
    </row>
    <row r="354" spans="3:10" ht="23.25">
      <c r="C354" s="34">
        <v>23</v>
      </c>
      <c r="D354" s="41">
        <v>20107001001</v>
      </c>
      <c r="E354" s="19" t="s">
        <v>323</v>
      </c>
      <c r="F354" s="44" t="s">
        <v>238</v>
      </c>
      <c r="G354" s="44">
        <v>343</v>
      </c>
      <c r="H354" s="60">
        <v>113.51</v>
      </c>
      <c r="I354" s="38">
        <v>38933.93</v>
      </c>
      <c r="J354" s="55"/>
    </row>
    <row r="355" spans="3:10" ht="23.25">
      <c r="C355" s="35"/>
      <c r="D355" s="42"/>
      <c r="E355" s="19" t="s">
        <v>337</v>
      </c>
      <c r="F355" s="45"/>
      <c r="G355" s="45"/>
      <c r="H355" s="53"/>
      <c r="I355" s="39"/>
      <c r="J355" s="56"/>
    </row>
    <row r="356" spans="3:10" ht="34.5">
      <c r="C356" s="35"/>
      <c r="D356" s="42"/>
      <c r="E356" s="19" t="s">
        <v>338</v>
      </c>
      <c r="F356" s="45"/>
      <c r="G356" s="45"/>
      <c r="H356" s="53"/>
      <c r="I356" s="39"/>
      <c r="J356" s="56"/>
    </row>
    <row r="357" spans="3:10" ht="57">
      <c r="C357" s="35"/>
      <c r="D357" s="42"/>
      <c r="E357" s="19" t="s">
        <v>339</v>
      </c>
      <c r="F357" s="45"/>
      <c r="G357" s="45"/>
      <c r="H357" s="53"/>
      <c r="I357" s="39"/>
      <c r="J357" s="56"/>
    </row>
    <row r="358" spans="3:10" ht="114" thickBot="1">
      <c r="C358" s="36"/>
      <c r="D358" s="43"/>
      <c r="E358" s="13" t="s">
        <v>340</v>
      </c>
      <c r="F358" s="46"/>
      <c r="G358" s="46"/>
      <c r="H358" s="54"/>
      <c r="I358" s="40"/>
      <c r="J358" s="57"/>
    </row>
    <row r="359" spans="3:10" ht="23.25">
      <c r="C359" s="34">
        <v>23</v>
      </c>
      <c r="D359" s="41">
        <v>20107001005</v>
      </c>
      <c r="E359" s="19" t="s">
        <v>341</v>
      </c>
      <c r="F359" s="44" t="s">
        <v>238</v>
      </c>
      <c r="G359" s="44">
        <v>151.93</v>
      </c>
      <c r="H359" s="60">
        <v>139.31</v>
      </c>
      <c r="I359" s="38">
        <v>21165.37</v>
      </c>
      <c r="J359" s="55"/>
    </row>
    <row r="360" spans="3:10" ht="23.25">
      <c r="C360" s="35"/>
      <c r="D360" s="42"/>
      <c r="E360" s="19" t="s">
        <v>342</v>
      </c>
      <c r="F360" s="45"/>
      <c r="G360" s="45"/>
      <c r="H360" s="53"/>
      <c r="I360" s="39"/>
      <c r="J360" s="56"/>
    </row>
    <row r="361" spans="3:10" ht="23.25">
      <c r="C361" s="35"/>
      <c r="D361" s="42"/>
      <c r="E361" s="19" t="s">
        <v>343</v>
      </c>
      <c r="F361" s="45"/>
      <c r="G361" s="45"/>
      <c r="H361" s="53"/>
      <c r="I361" s="39"/>
      <c r="J361" s="56"/>
    </row>
    <row r="362" spans="3:10" ht="23.25">
      <c r="C362" s="35"/>
      <c r="D362" s="42"/>
      <c r="E362" s="19" t="s">
        <v>344</v>
      </c>
      <c r="F362" s="45"/>
      <c r="G362" s="45"/>
      <c r="H362" s="53"/>
      <c r="I362" s="39"/>
      <c r="J362" s="56"/>
    </row>
    <row r="363" spans="3:10" ht="102">
      <c r="C363" s="35"/>
      <c r="D363" s="42"/>
      <c r="E363" s="19" t="s">
        <v>345</v>
      </c>
      <c r="F363" s="45"/>
      <c r="G363" s="45"/>
      <c r="H363" s="53"/>
      <c r="I363" s="39"/>
      <c r="J363" s="56"/>
    </row>
    <row r="364" spans="3:10" ht="114" thickBot="1">
      <c r="C364" s="36"/>
      <c r="D364" s="43"/>
      <c r="E364" s="13" t="s">
        <v>346</v>
      </c>
      <c r="F364" s="46"/>
      <c r="G364" s="46"/>
      <c r="H364" s="54"/>
      <c r="I364" s="40"/>
      <c r="J364" s="57"/>
    </row>
    <row r="365" spans="3:10" ht="23.25">
      <c r="C365" s="34">
        <v>24</v>
      </c>
      <c r="D365" s="41">
        <v>20107001005</v>
      </c>
      <c r="E365" s="19" t="s">
        <v>341</v>
      </c>
      <c r="F365" s="44" t="s">
        <v>238</v>
      </c>
      <c r="G365" s="44">
        <v>4.2</v>
      </c>
      <c r="H365" s="60">
        <v>139.31</v>
      </c>
      <c r="I365" s="38">
        <v>585.1</v>
      </c>
      <c r="J365" s="55"/>
    </row>
    <row r="366" spans="3:10" ht="23.25">
      <c r="C366" s="35"/>
      <c r="D366" s="42"/>
      <c r="E366" s="19" t="s">
        <v>347</v>
      </c>
      <c r="F366" s="45"/>
      <c r="G366" s="45"/>
      <c r="H366" s="53"/>
      <c r="I366" s="39"/>
      <c r="J366" s="56"/>
    </row>
    <row r="367" spans="3:10" ht="23.25">
      <c r="C367" s="35"/>
      <c r="D367" s="42"/>
      <c r="E367" s="19" t="s">
        <v>348</v>
      </c>
      <c r="F367" s="45"/>
      <c r="G367" s="45"/>
      <c r="H367" s="53"/>
      <c r="I367" s="39"/>
      <c r="J367" s="56"/>
    </row>
    <row r="368" spans="3:10" ht="23.25">
      <c r="C368" s="35"/>
      <c r="D368" s="42"/>
      <c r="E368" s="19" t="s">
        <v>344</v>
      </c>
      <c r="F368" s="45"/>
      <c r="G368" s="45"/>
      <c r="H368" s="53"/>
      <c r="I368" s="39"/>
      <c r="J368" s="56"/>
    </row>
    <row r="369" spans="3:10" ht="102">
      <c r="C369" s="35"/>
      <c r="D369" s="42"/>
      <c r="E369" s="19" t="s">
        <v>345</v>
      </c>
      <c r="F369" s="45"/>
      <c r="G369" s="45"/>
      <c r="H369" s="53"/>
      <c r="I369" s="39"/>
      <c r="J369" s="56"/>
    </row>
    <row r="370" spans="3:10" ht="114" thickBot="1">
      <c r="C370" s="36"/>
      <c r="D370" s="43"/>
      <c r="E370" s="13" t="s">
        <v>346</v>
      </c>
      <c r="F370" s="46"/>
      <c r="G370" s="46"/>
      <c r="H370" s="54"/>
      <c r="I370" s="40"/>
      <c r="J370" s="57"/>
    </row>
    <row r="371" spans="3:10" ht="23.25">
      <c r="C371" s="34">
        <v>25</v>
      </c>
      <c r="D371" s="41">
        <v>20107001005</v>
      </c>
      <c r="E371" s="19" t="s">
        <v>341</v>
      </c>
      <c r="F371" s="44" t="s">
        <v>238</v>
      </c>
      <c r="G371" s="44">
        <v>183.3</v>
      </c>
      <c r="H371" s="60">
        <v>139.31</v>
      </c>
      <c r="I371" s="38">
        <v>25535.52</v>
      </c>
      <c r="J371" s="55"/>
    </row>
    <row r="372" spans="3:10" ht="45.75">
      <c r="C372" s="35"/>
      <c r="D372" s="42"/>
      <c r="E372" s="19" t="s">
        <v>349</v>
      </c>
      <c r="F372" s="45"/>
      <c r="G372" s="45"/>
      <c r="H372" s="53"/>
      <c r="I372" s="39"/>
      <c r="J372" s="56"/>
    </row>
    <row r="373" spans="3:10" ht="23.25">
      <c r="C373" s="35"/>
      <c r="D373" s="42"/>
      <c r="E373" s="19" t="s">
        <v>348</v>
      </c>
      <c r="F373" s="45"/>
      <c r="G373" s="45"/>
      <c r="H373" s="53"/>
      <c r="I373" s="39"/>
      <c r="J373" s="56"/>
    </row>
    <row r="374" spans="3:10" ht="68.25">
      <c r="C374" s="35"/>
      <c r="D374" s="42"/>
      <c r="E374" s="19" t="s">
        <v>350</v>
      </c>
      <c r="F374" s="45"/>
      <c r="G374" s="45"/>
      <c r="H374" s="53"/>
      <c r="I374" s="39"/>
      <c r="J374" s="56"/>
    </row>
    <row r="375" spans="3:10" ht="57">
      <c r="C375" s="35"/>
      <c r="D375" s="42"/>
      <c r="E375" s="19" t="s">
        <v>351</v>
      </c>
      <c r="F375" s="45"/>
      <c r="G375" s="45"/>
      <c r="H375" s="53"/>
      <c r="I375" s="39"/>
      <c r="J375" s="56"/>
    </row>
    <row r="376" spans="3:10" ht="91.5" thickBot="1">
      <c r="C376" s="36"/>
      <c r="D376" s="43"/>
      <c r="E376" s="13" t="s">
        <v>352</v>
      </c>
      <c r="F376" s="46"/>
      <c r="G376" s="46"/>
      <c r="H376" s="54"/>
      <c r="I376" s="40"/>
      <c r="J376" s="57"/>
    </row>
    <row r="377" spans="3:10" ht="34.5">
      <c r="C377" s="34">
        <v>26</v>
      </c>
      <c r="D377" s="37">
        <v>20107004001</v>
      </c>
      <c r="E377" s="6" t="s">
        <v>353</v>
      </c>
      <c r="F377" s="37" t="s">
        <v>238</v>
      </c>
      <c r="G377" s="37">
        <v>4.4000000000000004</v>
      </c>
      <c r="H377" s="34">
        <v>236.21</v>
      </c>
      <c r="I377" s="38">
        <v>1039.32</v>
      </c>
      <c r="J377" s="67"/>
    </row>
    <row r="378" spans="3:10" ht="23.25">
      <c r="C378" s="35"/>
      <c r="D378" s="35"/>
      <c r="E378" s="6" t="s">
        <v>343</v>
      </c>
      <c r="F378" s="35"/>
      <c r="G378" s="35"/>
      <c r="H378" s="35"/>
      <c r="I378" s="39"/>
      <c r="J378" s="68"/>
    </row>
    <row r="379" spans="3:10" ht="23.25">
      <c r="C379" s="35"/>
      <c r="D379" s="35"/>
      <c r="E379" s="6" t="s">
        <v>354</v>
      </c>
      <c r="F379" s="35"/>
      <c r="G379" s="35"/>
      <c r="H379" s="35"/>
      <c r="I379" s="39"/>
      <c r="J379" s="68"/>
    </row>
    <row r="380" spans="3:10" ht="79.5">
      <c r="C380" s="35"/>
      <c r="D380" s="35"/>
      <c r="E380" s="6" t="s">
        <v>355</v>
      </c>
      <c r="F380" s="35"/>
      <c r="G380" s="35"/>
      <c r="H380" s="35"/>
      <c r="I380" s="39"/>
      <c r="J380" s="68"/>
    </row>
    <row r="381" spans="3:10" ht="69" thickBot="1">
      <c r="C381" s="36"/>
      <c r="D381" s="36"/>
      <c r="E381" s="4" t="s">
        <v>356</v>
      </c>
      <c r="F381" s="36"/>
      <c r="G381" s="36"/>
      <c r="H381" s="36"/>
      <c r="I381" s="40"/>
      <c r="J381" s="69"/>
    </row>
    <row r="382" spans="3:10">
      <c r="C382" s="34">
        <v>27</v>
      </c>
      <c r="D382" s="59">
        <v>20209001001</v>
      </c>
      <c r="E382" s="19" t="s">
        <v>357</v>
      </c>
      <c r="F382" s="58" t="s">
        <v>4</v>
      </c>
      <c r="G382" s="58">
        <v>201.48</v>
      </c>
      <c r="H382" s="60">
        <v>377.85</v>
      </c>
      <c r="I382" s="38">
        <v>76129.22</v>
      </c>
      <c r="J382" s="55"/>
    </row>
    <row r="383" spans="3:10" ht="57">
      <c r="C383" s="35"/>
      <c r="D383" s="42"/>
      <c r="E383" s="19" t="s">
        <v>358</v>
      </c>
      <c r="F383" s="45"/>
      <c r="G383" s="45"/>
      <c r="H383" s="53"/>
      <c r="I383" s="39"/>
      <c r="J383" s="56"/>
    </row>
    <row r="384" spans="3:10" ht="80.25" thickBot="1">
      <c r="C384" s="36"/>
      <c r="D384" s="43"/>
      <c r="E384" s="13" t="s">
        <v>359</v>
      </c>
      <c r="F384" s="46"/>
      <c r="G384" s="46"/>
      <c r="H384" s="54"/>
      <c r="I384" s="40"/>
      <c r="J384" s="57"/>
    </row>
    <row r="385" spans="3:10">
      <c r="C385" s="34">
        <v>28</v>
      </c>
      <c r="D385" s="41">
        <v>20209001001</v>
      </c>
      <c r="E385" s="19" t="s">
        <v>357</v>
      </c>
      <c r="F385" s="44" t="s">
        <v>4</v>
      </c>
      <c r="G385" s="44">
        <v>65.739999999999995</v>
      </c>
      <c r="H385" s="60">
        <v>230</v>
      </c>
      <c r="I385" s="38">
        <v>15119.28</v>
      </c>
      <c r="J385" s="55"/>
    </row>
    <row r="386" spans="3:10" ht="68.25">
      <c r="C386" s="35"/>
      <c r="D386" s="42"/>
      <c r="E386" s="19" t="s">
        <v>360</v>
      </c>
      <c r="F386" s="45"/>
      <c r="G386" s="45"/>
      <c r="H386" s="53"/>
      <c r="I386" s="39"/>
      <c r="J386" s="56"/>
    </row>
    <row r="387" spans="3:10" ht="80.25" thickBot="1">
      <c r="C387" s="36"/>
      <c r="D387" s="43"/>
      <c r="E387" s="13" t="s">
        <v>361</v>
      </c>
      <c r="F387" s="46"/>
      <c r="G387" s="46"/>
      <c r="H387" s="54"/>
      <c r="I387" s="40"/>
      <c r="J387" s="57"/>
    </row>
    <row r="388" spans="3:10">
      <c r="C388" s="34">
        <v>29</v>
      </c>
      <c r="D388" s="41">
        <v>20209001002</v>
      </c>
      <c r="E388" s="19" t="s">
        <v>357</v>
      </c>
      <c r="F388" s="44" t="s">
        <v>4</v>
      </c>
      <c r="G388" s="44">
        <v>429.23</v>
      </c>
      <c r="H388" s="60">
        <v>230</v>
      </c>
      <c r="I388" s="38">
        <v>98722.9</v>
      </c>
      <c r="J388" s="55"/>
    </row>
    <row r="389" spans="3:10" ht="68.25">
      <c r="C389" s="35"/>
      <c r="D389" s="42"/>
      <c r="E389" s="19" t="s">
        <v>362</v>
      </c>
      <c r="F389" s="45"/>
      <c r="G389" s="45"/>
      <c r="H389" s="53"/>
      <c r="I389" s="39"/>
      <c r="J389" s="56"/>
    </row>
    <row r="390" spans="3:10" ht="68.25">
      <c r="C390" s="35"/>
      <c r="D390" s="42"/>
      <c r="E390" s="19" t="s">
        <v>363</v>
      </c>
      <c r="F390" s="45"/>
      <c r="G390" s="45"/>
      <c r="H390" s="53"/>
      <c r="I390" s="39"/>
      <c r="J390" s="56"/>
    </row>
    <row r="391" spans="3:10" ht="80.25" thickBot="1">
      <c r="C391" s="36"/>
      <c r="D391" s="43"/>
      <c r="E391" s="13" t="s">
        <v>364</v>
      </c>
      <c r="F391" s="46"/>
      <c r="G391" s="46"/>
      <c r="H391" s="54"/>
      <c r="I391" s="40"/>
      <c r="J391" s="57"/>
    </row>
    <row r="392" spans="3:10" ht="24" thickBot="1">
      <c r="C392" s="3"/>
      <c r="D392" s="12" t="s">
        <v>365</v>
      </c>
      <c r="E392" s="13" t="s">
        <v>366</v>
      </c>
      <c r="F392" s="13"/>
      <c r="G392" s="12"/>
      <c r="H392" s="12"/>
      <c r="I392" s="14"/>
      <c r="J392" s="15"/>
    </row>
    <row r="393" spans="3:10" ht="34.5">
      <c r="C393" s="34">
        <v>1</v>
      </c>
      <c r="D393" s="41">
        <v>20201001001</v>
      </c>
      <c r="E393" s="19" t="s">
        <v>367</v>
      </c>
      <c r="F393" s="44" t="s">
        <v>4</v>
      </c>
      <c r="G393" s="44">
        <v>28845.25</v>
      </c>
      <c r="H393" s="52">
        <v>15.39</v>
      </c>
      <c r="I393" s="38">
        <v>443928.4</v>
      </c>
      <c r="J393" s="55"/>
    </row>
    <row r="394" spans="3:10" ht="45.75">
      <c r="C394" s="35"/>
      <c r="D394" s="42"/>
      <c r="E394" s="19" t="s">
        <v>368</v>
      </c>
      <c r="F394" s="45"/>
      <c r="G394" s="45"/>
      <c r="H394" s="53"/>
      <c r="I394" s="39"/>
      <c r="J394" s="56"/>
    </row>
    <row r="395" spans="3:10" ht="45.75">
      <c r="C395" s="35"/>
      <c r="D395" s="42"/>
      <c r="E395" s="19" t="s">
        <v>369</v>
      </c>
      <c r="F395" s="45"/>
      <c r="G395" s="45"/>
      <c r="H395" s="53"/>
      <c r="I395" s="39"/>
      <c r="J395" s="56"/>
    </row>
    <row r="396" spans="3:10" ht="45.75">
      <c r="C396" s="35"/>
      <c r="D396" s="42"/>
      <c r="E396" s="19" t="s">
        <v>370</v>
      </c>
      <c r="F396" s="45"/>
      <c r="G396" s="45"/>
      <c r="H396" s="53"/>
      <c r="I396" s="39"/>
      <c r="J396" s="56"/>
    </row>
    <row r="397" spans="3:10" ht="69" thickBot="1">
      <c r="C397" s="36"/>
      <c r="D397" s="43"/>
      <c r="E397" s="13" t="s">
        <v>371</v>
      </c>
      <c r="F397" s="46"/>
      <c r="G397" s="46"/>
      <c r="H397" s="54"/>
      <c r="I397" s="40"/>
      <c r="J397" s="57"/>
    </row>
    <row r="398" spans="3:10" ht="34.5">
      <c r="C398" s="34">
        <v>2</v>
      </c>
      <c r="D398" s="41">
        <v>20201001002</v>
      </c>
      <c r="E398" s="19" t="s">
        <v>223</v>
      </c>
      <c r="F398" s="44" t="s">
        <v>4</v>
      </c>
      <c r="G398" s="44">
        <v>23.76</v>
      </c>
      <c r="H398" s="60">
        <v>18.29</v>
      </c>
      <c r="I398" s="38">
        <v>434.57</v>
      </c>
      <c r="J398" s="55"/>
    </row>
    <row r="399" spans="3:10" ht="45.75">
      <c r="C399" s="35"/>
      <c r="D399" s="42"/>
      <c r="E399" s="19" t="s">
        <v>372</v>
      </c>
      <c r="F399" s="45"/>
      <c r="G399" s="45"/>
      <c r="H399" s="53"/>
      <c r="I399" s="39"/>
      <c r="J399" s="56"/>
    </row>
    <row r="400" spans="3:10" ht="24" thickBot="1">
      <c r="C400" s="36"/>
      <c r="D400" s="43"/>
      <c r="E400" s="13" t="s">
        <v>373</v>
      </c>
      <c r="F400" s="46"/>
      <c r="G400" s="46"/>
      <c r="H400" s="54"/>
      <c r="I400" s="40"/>
      <c r="J400" s="57"/>
    </row>
    <row r="401" spans="3:10" ht="45.75">
      <c r="C401" s="34">
        <v>3</v>
      </c>
      <c r="D401" s="37">
        <v>20201001002</v>
      </c>
      <c r="E401" s="6" t="s">
        <v>374</v>
      </c>
      <c r="F401" s="37" t="s">
        <v>4</v>
      </c>
      <c r="G401" s="37">
        <v>11189.77</v>
      </c>
      <c r="H401" s="34">
        <v>30</v>
      </c>
      <c r="I401" s="38">
        <v>335693.1</v>
      </c>
      <c r="J401" s="61"/>
    </row>
    <row r="402" spans="3:10" ht="45.75">
      <c r="C402" s="35"/>
      <c r="D402" s="35"/>
      <c r="E402" s="6" t="s">
        <v>372</v>
      </c>
      <c r="F402" s="35"/>
      <c r="G402" s="35"/>
      <c r="H402" s="35"/>
      <c r="I402" s="39"/>
      <c r="J402" s="62"/>
    </row>
    <row r="403" spans="3:10" ht="23.25">
      <c r="C403" s="35"/>
      <c r="D403" s="35"/>
      <c r="E403" s="6" t="s">
        <v>375</v>
      </c>
      <c r="F403" s="35"/>
      <c r="G403" s="35"/>
      <c r="H403" s="35"/>
      <c r="I403" s="39"/>
      <c r="J403" s="62"/>
    </row>
    <row r="404" spans="3:10" ht="35.25" thickBot="1">
      <c r="C404" s="36"/>
      <c r="D404" s="36"/>
      <c r="E404" s="4" t="s">
        <v>376</v>
      </c>
      <c r="F404" s="36"/>
      <c r="G404" s="36"/>
      <c r="H404" s="36"/>
      <c r="I404" s="40"/>
      <c r="J404" s="63"/>
    </row>
    <row r="405" spans="3:10" ht="34.5">
      <c r="C405" s="34">
        <v>4</v>
      </c>
      <c r="D405" s="59">
        <v>20201001005</v>
      </c>
      <c r="E405" s="19" t="s">
        <v>377</v>
      </c>
      <c r="F405" s="58" t="s">
        <v>4</v>
      </c>
      <c r="G405" s="58">
        <v>6676.13</v>
      </c>
      <c r="H405" s="60">
        <v>31.26</v>
      </c>
      <c r="I405" s="38">
        <v>208695.82</v>
      </c>
      <c r="J405" s="55"/>
    </row>
    <row r="406" spans="3:10" ht="45.75">
      <c r="C406" s="35"/>
      <c r="D406" s="42"/>
      <c r="E406" s="19" t="s">
        <v>378</v>
      </c>
      <c r="F406" s="45"/>
      <c r="G406" s="45"/>
      <c r="H406" s="53"/>
      <c r="I406" s="39"/>
      <c r="J406" s="56"/>
    </row>
    <row r="407" spans="3:10" ht="45.75">
      <c r="C407" s="35"/>
      <c r="D407" s="42"/>
      <c r="E407" s="19" t="s">
        <v>379</v>
      </c>
      <c r="F407" s="45"/>
      <c r="G407" s="45"/>
      <c r="H407" s="53"/>
      <c r="I407" s="39"/>
      <c r="J407" s="56"/>
    </row>
    <row r="408" spans="3:10" ht="45.75">
      <c r="C408" s="35"/>
      <c r="D408" s="42"/>
      <c r="E408" s="19" t="s">
        <v>380</v>
      </c>
      <c r="F408" s="45"/>
      <c r="G408" s="45"/>
      <c r="H408" s="53"/>
      <c r="I408" s="39"/>
      <c r="J408" s="56"/>
    </row>
    <row r="409" spans="3:10" ht="24" thickBot="1">
      <c r="C409" s="36"/>
      <c r="D409" s="43"/>
      <c r="E409" s="13" t="s">
        <v>381</v>
      </c>
      <c r="F409" s="46"/>
      <c r="G409" s="46"/>
      <c r="H409" s="54"/>
      <c r="I409" s="40"/>
      <c r="J409" s="57"/>
    </row>
    <row r="410" spans="3:10">
      <c r="C410" s="34">
        <v>5</v>
      </c>
      <c r="D410" s="41">
        <v>20204003001</v>
      </c>
      <c r="E410" s="19" t="s">
        <v>382</v>
      </c>
      <c r="F410" s="44" t="s">
        <v>4</v>
      </c>
      <c r="G410" s="44">
        <v>674.16</v>
      </c>
      <c r="H410" s="60">
        <v>87.16</v>
      </c>
      <c r="I410" s="38">
        <v>58759.79</v>
      </c>
      <c r="J410" s="64"/>
    </row>
    <row r="411" spans="3:10" ht="45.75">
      <c r="C411" s="35"/>
      <c r="D411" s="42"/>
      <c r="E411" s="19" t="s">
        <v>378</v>
      </c>
      <c r="F411" s="45"/>
      <c r="G411" s="45"/>
      <c r="H411" s="53"/>
      <c r="I411" s="39"/>
      <c r="J411" s="65"/>
    </row>
    <row r="412" spans="3:10" ht="45.75">
      <c r="C412" s="35"/>
      <c r="D412" s="42"/>
      <c r="E412" s="19" t="s">
        <v>383</v>
      </c>
      <c r="F412" s="45"/>
      <c r="G412" s="45"/>
      <c r="H412" s="53"/>
      <c r="I412" s="39"/>
      <c r="J412" s="65"/>
    </row>
    <row r="413" spans="3:10" ht="45.75">
      <c r="C413" s="35"/>
      <c r="D413" s="42"/>
      <c r="E413" s="19" t="s">
        <v>384</v>
      </c>
      <c r="F413" s="45"/>
      <c r="G413" s="45"/>
      <c r="H413" s="53"/>
      <c r="I413" s="39"/>
      <c r="J413" s="65"/>
    </row>
    <row r="414" spans="3:10" ht="80.25" thickBot="1">
      <c r="C414" s="36"/>
      <c r="D414" s="43"/>
      <c r="E414" s="13" t="s">
        <v>385</v>
      </c>
      <c r="F414" s="46"/>
      <c r="G414" s="46"/>
      <c r="H414" s="54"/>
      <c r="I414" s="40"/>
      <c r="J414" s="66"/>
    </row>
    <row r="415" spans="3:10">
      <c r="C415" s="34">
        <v>6</v>
      </c>
      <c r="D415" s="41">
        <v>20204003001</v>
      </c>
      <c r="E415" s="19" t="s">
        <v>382</v>
      </c>
      <c r="F415" s="44" t="s">
        <v>4</v>
      </c>
      <c r="G415" s="44">
        <v>8282.0499999999993</v>
      </c>
      <c r="H415" s="60">
        <v>65.66</v>
      </c>
      <c r="I415" s="38">
        <v>543799.4</v>
      </c>
      <c r="J415" s="64"/>
    </row>
    <row r="416" spans="3:10" ht="45.75">
      <c r="C416" s="35"/>
      <c r="D416" s="42"/>
      <c r="E416" s="19" t="s">
        <v>378</v>
      </c>
      <c r="F416" s="45"/>
      <c r="G416" s="45"/>
      <c r="H416" s="53"/>
      <c r="I416" s="39"/>
      <c r="J416" s="65"/>
    </row>
    <row r="417" spans="3:10" ht="45.75">
      <c r="C417" s="35"/>
      <c r="D417" s="42"/>
      <c r="E417" s="19" t="s">
        <v>383</v>
      </c>
      <c r="F417" s="45"/>
      <c r="G417" s="45"/>
      <c r="H417" s="53"/>
      <c r="I417" s="39"/>
      <c r="J417" s="65"/>
    </row>
    <row r="418" spans="3:10" ht="45.75">
      <c r="C418" s="35"/>
      <c r="D418" s="42"/>
      <c r="E418" s="19" t="s">
        <v>386</v>
      </c>
      <c r="F418" s="45"/>
      <c r="G418" s="45"/>
      <c r="H418" s="53"/>
      <c r="I418" s="39"/>
      <c r="J418" s="65"/>
    </row>
    <row r="419" spans="3:10" ht="80.25" thickBot="1">
      <c r="C419" s="36"/>
      <c r="D419" s="43"/>
      <c r="E419" s="13" t="s">
        <v>385</v>
      </c>
      <c r="F419" s="46"/>
      <c r="G419" s="46"/>
      <c r="H419" s="54"/>
      <c r="I419" s="40"/>
      <c r="J419" s="66"/>
    </row>
    <row r="420" spans="3:10">
      <c r="C420" s="34">
        <v>7</v>
      </c>
      <c r="D420" s="41">
        <v>20204003001</v>
      </c>
      <c r="E420" s="19" t="s">
        <v>382</v>
      </c>
      <c r="F420" s="44" t="s">
        <v>4</v>
      </c>
      <c r="G420" s="44">
        <v>315.72000000000003</v>
      </c>
      <c r="H420" s="60">
        <v>65.650000000000006</v>
      </c>
      <c r="I420" s="38">
        <v>20727.02</v>
      </c>
      <c r="J420" s="64"/>
    </row>
    <row r="421" spans="3:10" ht="45.75">
      <c r="C421" s="35"/>
      <c r="D421" s="42"/>
      <c r="E421" s="19" t="s">
        <v>378</v>
      </c>
      <c r="F421" s="45"/>
      <c r="G421" s="45"/>
      <c r="H421" s="53"/>
      <c r="I421" s="39"/>
      <c r="J421" s="65"/>
    </row>
    <row r="422" spans="3:10" ht="45.75">
      <c r="C422" s="35"/>
      <c r="D422" s="42"/>
      <c r="E422" s="19" t="s">
        <v>383</v>
      </c>
      <c r="F422" s="45"/>
      <c r="G422" s="45"/>
      <c r="H422" s="53"/>
      <c r="I422" s="39"/>
      <c r="J422" s="65"/>
    </row>
    <row r="423" spans="3:10" ht="57">
      <c r="C423" s="35"/>
      <c r="D423" s="42"/>
      <c r="E423" s="19" t="s">
        <v>387</v>
      </c>
      <c r="F423" s="45"/>
      <c r="G423" s="45"/>
      <c r="H423" s="53"/>
      <c r="I423" s="39"/>
      <c r="J423" s="65"/>
    </row>
    <row r="424" spans="3:10" ht="80.25" thickBot="1">
      <c r="C424" s="36"/>
      <c r="D424" s="43"/>
      <c r="E424" s="13" t="s">
        <v>385</v>
      </c>
      <c r="F424" s="46"/>
      <c r="G424" s="46"/>
      <c r="H424" s="54"/>
      <c r="I424" s="40"/>
      <c r="J424" s="66"/>
    </row>
    <row r="425" spans="3:10" ht="57">
      <c r="C425" s="34">
        <v>8</v>
      </c>
      <c r="D425" s="37" t="s">
        <v>388</v>
      </c>
      <c r="E425" s="6" t="s">
        <v>389</v>
      </c>
      <c r="F425" s="41" t="s">
        <v>4</v>
      </c>
      <c r="G425" s="44">
        <v>6676.13</v>
      </c>
      <c r="H425" s="60">
        <v>58.82</v>
      </c>
      <c r="I425" s="38">
        <v>392689.97</v>
      </c>
      <c r="J425" s="64"/>
    </row>
    <row r="426" spans="3:10" ht="45.75">
      <c r="C426" s="35"/>
      <c r="D426" s="35"/>
      <c r="E426" s="6" t="s">
        <v>378</v>
      </c>
      <c r="F426" s="42"/>
      <c r="G426" s="45"/>
      <c r="H426" s="53"/>
      <c r="I426" s="39"/>
      <c r="J426" s="65"/>
    </row>
    <row r="427" spans="3:10" ht="45.75">
      <c r="C427" s="35"/>
      <c r="D427" s="35"/>
      <c r="E427" s="6" t="s">
        <v>390</v>
      </c>
      <c r="F427" s="42"/>
      <c r="G427" s="45"/>
      <c r="H427" s="53"/>
      <c r="I427" s="39"/>
      <c r="J427" s="65"/>
    </row>
    <row r="428" spans="3:10" ht="57">
      <c r="C428" s="35"/>
      <c r="D428" s="35"/>
      <c r="E428" s="6" t="s">
        <v>391</v>
      </c>
      <c r="F428" s="42"/>
      <c r="G428" s="45"/>
      <c r="H428" s="53"/>
      <c r="I428" s="39"/>
      <c r="J428" s="65"/>
    </row>
    <row r="429" spans="3:10" ht="24" thickBot="1">
      <c r="C429" s="36"/>
      <c r="D429" s="36"/>
      <c r="E429" s="4" t="s">
        <v>392</v>
      </c>
      <c r="F429" s="43"/>
      <c r="G429" s="46"/>
      <c r="H429" s="54"/>
      <c r="I429" s="40"/>
      <c r="J429" s="66"/>
    </row>
    <row r="430" spans="3:10">
      <c r="C430" s="34">
        <v>9</v>
      </c>
      <c r="D430" s="59">
        <v>20201001007</v>
      </c>
      <c r="E430" s="19" t="s">
        <v>393</v>
      </c>
      <c r="F430" s="44" t="s">
        <v>4</v>
      </c>
      <c r="G430" s="44">
        <v>3352.32</v>
      </c>
      <c r="H430" s="60">
        <v>12</v>
      </c>
      <c r="I430" s="38">
        <v>40227.839999999997</v>
      </c>
      <c r="J430" s="55"/>
    </row>
    <row r="431" spans="3:10">
      <c r="C431" s="35"/>
      <c r="D431" s="42"/>
      <c r="E431" s="19" t="s">
        <v>394</v>
      </c>
      <c r="F431" s="45"/>
      <c r="G431" s="45"/>
      <c r="H431" s="53"/>
      <c r="I431" s="39"/>
      <c r="J431" s="56"/>
    </row>
    <row r="432" spans="3:10" ht="45.75">
      <c r="C432" s="35"/>
      <c r="D432" s="42"/>
      <c r="E432" s="19" t="s">
        <v>395</v>
      </c>
      <c r="F432" s="45"/>
      <c r="G432" s="45"/>
      <c r="H432" s="53"/>
      <c r="I432" s="39"/>
      <c r="J432" s="56"/>
    </row>
    <row r="433" spans="3:10" ht="57.75" thickBot="1">
      <c r="C433" s="36"/>
      <c r="D433" s="43"/>
      <c r="E433" s="13" t="s">
        <v>396</v>
      </c>
      <c r="F433" s="46"/>
      <c r="G433" s="46"/>
      <c r="H433" s="54"/>
      <c r="I433" s="40"/>
      <c r="J433" s="57"/>
    </row>
    <row r="434" spans="3:10">
      <c r="C434" s="34">
        <v>10</v>
      </c>
      <c r="D434" s="41">
        <v>20201001008</v>
      </c>
      <c r="E434" s="19" t="s">
        <v>393</v>
      </c>
      <c r="F434" s="44" t="s">
        <v>4</v>
      </c>
      <c r="G434" s="44">
        <v>8075.3</v>
      </c>
      <c r="H434" s="60">
        <v>27</v>
      </c>
      <c r="I434" s="38">
        <v>218033.1</v>
      </c>
      <c r="J434" s="55"/>
    </row>
    <row r="435" spans="3:10">
      <c r="C435" s="35"/>
      <c r="D435" s="42"/>
      <c r="E435" s="19" t="s">
        <v>397</v>
      </c>
      <c r="F435" s="45"/>
      <c r="G435" s="45"/>
      <c r="H435" s="53"/>
      <c r="I435" s="39"/>
      <c r="J435" s="56"/>
    </row>
    <row r="436" spans="3:10" ht="45.75">
      <c r="C436" s="35"/>
      <c r="D436" s="42"/>
      <c r="E436" s="19" t="s">
        <v>378</v>
      </c>
      <c r="F436" s="45"/>
      <c r="G436" s="45"/>
      <c r="H436" s="53"/>
      <c r="I436" s="39"/>
      <c r="J436" s="56"/>
    </row>
    <row r="437" spans="3:10" ht="57.75" thickBot="1">
      <c r="C437" s="36"/>
      <c r="D437" s="43"/>
      <c r="E437" s="13" t="s">
        <v>398</v>
      </c>
      <c r="F437" s="46"/>
      <c r="G437" s="46"/>
      <c r="H437" s="54"/>
      <c r="I437" s="40"/>
      <c r="J437" s="57"/>
    </row>
    <row r="438" spans="3:10">
      <c r="C438" s="34">
        <v>11</v>
      </c>
      <c r="D438" s="37">
        <v>20204001004</v>
      </c>
      <c r="E438" s="6" t="s">
        <v>399</v>
      </c>
      <c r="F438" s="37" t="s">
        <v>4</v>
      </c>
      <c r="G438" s="37">
        <v>23.76</v>
      </c>
      <c r="H438" s="34">
        <v>613.16</v>
      </c>
      <c r="I438" s="38">
        <v>14568.68</v>
      </c>
      <c r="J438" s="61"/>
    </row>
    <row r="439" spans="3:10" ht="45.75">
      <c r="C439" s="35"/>
      <c r="D439" s="35"/>
      <c r="E439" s="6" t="s">
        <v>400</v>
      </c>
      <c r="F439" s="35"/>
      <c r="G439" s="35"/>
      <c r="H439" s="35"/>
      <c r="I439" s="39"/>
      <c r="J439" s="62"/>
    </row>
    <row r="440" spans="3:10" ht="45.75">
      <c r="C440" s="35"/>
      <c r="D440" s="35"/>
      <c r="E440" s="6" t="s">
        <v>401</v>
      </c>
      <c r="F440" s="35"/>
      <c r="G440" s="35"/>
      <c r="H440" s="35"/>
      <c r="I440" s="39"/>
      <c r="J440" s="62"/>
    </row>
    <row r="441" spans="3:10" ht="80.25" thickBot="1">
      <c r="C441" s="36"/>
      <c r="D441" s="36"/>
      <c r="E441" s="4" t="s">
        <v>402</v>
      </c>
      <c r="F441" s="36"/>
      <c r="G441" s="36"/>
      <c r="H441" s="36"/>
      <c r="I441" s="40"/>
      <c r="J441" s="63"/>
    </row>
    <row r="442" spans="3:10" ht="15" thickBot="1">
      <c r="C442" s="3"/>
      <c r="D442" s="12" t="s">
        <v>403</v>
      </c>
      <c r="E442" s="13" t="s">
        <v>404</v>
      </c>
      <c r="F442" s="13"/>
      <c r="G442" s="12"/>
      <c r="H442" s="12"/>
      <c r="I442" s="14"/>
      <c r="J442" s="15"/>
    </row>
    <row r="443" spans="3:10">
      <c r="C443" s="34">
        <v>1</v>
      </c>
      <c r="D443" s="41">
        <v>20301001006</v>
      </c>
      <c r="E443" s="19" t="s">
        <v>405</v>
      </c>
      <c r="F443" s="44" t="s">
        <v>4</v>
      </c>
      <c r="G443" s="44">
        <v>24740.080000000002</v>
      </c>
      <c r="H443" s="52">
        <v>15.34</v>
      </c>
      <c r="I443" s="38">
        <v>379512.83</v>
      </c>
      <c r="J443" s="55"/>
    </row>
    <row r="444" spans="3:10" ht="34.5">
      <c r="C444" s="35"/>
      <c r="D444" s="42"/>
      <c r="E444" s="19" t="s">
        <v>406</v>
      </c>
      <c r="F444" s="45"/>
      <c r="G444" s="45"/>
      <c r="H444" s="53"/>
      <c r="I444" s="39"/>
      <c r="J444" s="56"/>
    </row>
    <row r="445" spans="3:10" ht="35.25" thickBot="1">
      <c r="C445" s="36"/>
      <c r="D445" s="43"/>
      <c r="E445" s="13" t="s">
        <v>407</v>
      </c>
      <c r="F445" s="46"/>
      <c r="G445" s="46"/>
      <c r="H445" s="54"/>
      <c r="I445" s="40"/>
      <c r="J445" s="57"/>
    </row>
    <row r="446" spans="3:10" ht="15" thickBot="1">
      <c r="C446" s="3"/>
      <c r="D446" s="12" t="s">
        <v>408</v>
      </c>
      <c r="E446" s="13" t="s">
        <v>409</v>
      </c>
      <c r="F446" s="13"/>
      <c r="G446" s="12"/>
      <c r="H446" s="12"/>
      <c r="I446" s="14"/>
      <c r="J446" s="24"/>
    </row>
    <row r="447" spans="3:10" ht="23.25">
      <c r="C447" s="34">
        <v>1</v>
      </c>
      <c r="D447" s="37">
        <v>20402001002</v>
      </c>
      <c r="E447" s="19" t="s">
        <v>410</v>
      </c>
      <c r="F447" s="44" t="s">
        <v>4</v>
      </c>
      <c r="G447" s="44">
        <v>1300.32</v>
      </c>
      <c r="H447" s="52">
        <v>290</v>
      </c>
      <c r="I447" s="38">
        <v>377092.8</v>
      </c>
      <c r="J447" s="50"/>
    </row>
    <row r="448" spans="3:10" ht="34.5">
      <c r="C448" s="35"/>
      <c r="D448" s="35"/>
      <c r="E448" s="19" t="s">
        <v>411</v>
      </c>
      <c r="F448" s="45"/>
      <c r="G448" s="45"/>
      <c r="H448" s="53"/>
      <c r="I448" s="39"/>
      <c r="J448" s="32"/>
    </row>
    <row r="449" spans="3:10" ht="45.75">
      <c r="C449" s="35"/>
      <c r="D449" s="35"/>
      <c r="E449" s="19" t="s">
        <v>412</v>
      </c>
      <c r="F449" s="45"/>
      <c r="G449" s="45"/>
      <c r="H449" s="53"/>
      <c r="I449" s="39"/>
      <c r="J449" s="32"/>
    </row>
    <row r="450" spans="3:10" ht="23.25">
      <c r="C450" s="35"/>
      <c r="D450" s="35"/>
      <c r="E450" s="19" t="s">
        <v>413</v>
      </c>
      <c r="F450" s="45"/>
      <c r="G450" s="45"/>
      <c r="H450" s="53"/>
      <c r="I450" s="39"/>
      <c r="J450" s="32"/>
    </row>
    <row r="451" spans="3:10" ht="35.25" thickBot="1">
      <c r="C451" s="36"/>
      <c r="D451" s="36"/>
      <c r="E451" s="13" t="s">
        <v>414</v>
      </c>
      <c r="F451" s="46"/>
      <c r="G451" s="46"/>
      <c r="H451" s="54"/>
      <c r="I451" s="40"/>
      <c r="J451" s="51"/>
    </row>
    <row r="452" spans="3:10" ht="23.25">
      <c r="C452" s="34">
        <v>2</v>
      </c>
      <c r="D452" s="34">
        <v>20406002001</v>
      </c>
      <c r="E452" s="19" t="s">
        <v>415</v>
      </c>
      <c r="F452" s="44" t="s">
        <v>4</v>
      </c>
      <c r="G452" s="44">
        <v>52.92</v>
      </c>
      <c r="H452" s="60">
        <v>290</v>
      </c>
      <c r="I452" s="38">
        <v>15346.8</v>
      </c>
      <c r="J452" s="50"/>
    </row>
    <row r="453" spans="3:10" ht="34.5">
      <c r="C453" s="35"/>
      <c r="D453" s="35"/>
      <c r="E453" s="19" t="s">
        <v>416</v>
      </c>
      <c r="F453" s="45"/>
      <c r="G453" s="45"/>
      <c r="H453" s="53"/>
      <c r="I453" s="39"/>
      <c r="J453" s="32"/>
    </row>
    <row r="454" spans="3:10" ht="45.75">
      <c r="C454" s="35"/>
      <c r="D454" s="35"/>
      <c r="E454" s="19" t="s">
        <v>412</v>
      </c>
      <c r="F454" s="45"/>
      <c r="G454" s="45"/>
      <c r="H454" s="53"/>
      <c r="I454" s="39"/>
      <c r="J454" s="32"/>
    </row>
    <row r="455" spans="3:10" ht="23.25">
      <c r="C455" s="35"/>
      <c r="D455" s="35"/>
      <c r="E455" s="19" t="s">
        <v>413</v>
      </c>
      <c r="F455" s="45"/>
      <c r="G455" s="45"/>
      <c r="H455" s="53"/>
      <c r="I455" s="39"/>
      <c r="J455" s="32"/>
    </row>
    <row r="456" spans="3:10" ht="35.25" thickBot="1">
      <c r="C456" s="36"/>
      <c r="D456" s="36"/>
      <c r="E456" s="13" t="s">
        <v>417</v>
      </c>
      <c r="F456" s="46"/>
      <c r="G456" s="46"/>
      <c r="H456" s="54"/>
      <c r="I456" s="40"/>
      <c r="J456" s="51"/>
    </row>
    <row r="457" spans="3:10" ht="68.25">
      <c r="C457" s="34">
        <v>3</v>
      </c>
      <c r="D457" s="59">
        <v>20402002001</v>
      </c>
      <c r="E457" s="19" t="s">
        <v>418</v>
      </c>
      <c r="F457" s="44" t="s">
        <v>4</v>
      </c>
      <c r="G457" s="44">
        <v>306.42</v>
      </c>
      <c r="H457" s="60">
        <v>509.4</v>
      </c>
      <c r="I457" s="38">
        <v>156090.35</v>
      </c>
      <c r="J457" s="55"/>
    </row>
    <row r="458" spans="3:10" ht="34.5">
      <c r="C458" s="35"/>
      <c r="D458" s="42"/>
      <c r="E458" s="19" t="s">
        <v>419</v>
      </c>
      <c r="F458" s="45"/>
      <c r="G458" s="45"/>
      <c r="H458" s="53"/>
      <c r="I458" s="39"/>
      <c r="J458" s="56"/>
    </row>
    <row r="459" spans="3:10" ht="57">
      <c r="C459" s="35"/>
      <c r="D459" s="42"/>
      <c r="E459" s="19" t="s">
        <v>420</v>
      </c>
      <c r="F459" s="45"/>
      <c r="G459" s="45"/>
      <c r="H459" s="53"/>
      <c r="I459" s="39"/>
      <c r="J459" s="56"/>
    </row>
    <row r="460" spans="3:10" ht="45.75">
      <c r="C460" s="35"/>
      <c r="D460" s="42"/>
      <c r="E460" s="19" t="s">
        <v>421</v>
      </c>
      <c r="F460" s="45"/>
      <c r="G460" s="45"/>
      <c r="H460" s="53"/>
      <c r="I460" s="39"/>
      <c r="J460" s="56"/>
    </row>
    <row r="461" spans="3:10" ht="24" thickBot="1">
      <c r="C461" s="36"/>
      <c r="D461" s="43"/>
      <c r="E461" s="13" t="s">
        <v>422</v>
      </c>
      <c r="F461" s="46"/>
      <c r="G461" s="46"/>
      <c r="H461" s="54"/>
      <c r="I461" s="40"/>
      <c r="J461" s="57"/>
    </row>
    <row r="462" spans="3:10" ht="57">
      <c r="C462" s="34">
        <v>4</v>
      </c>
      <c r="D462" s="41">
        <v>20402002002</v>
      </c>
      <c r="E462" s="19" t="s">
        <v>423</v>
      </c>
      <c r="F462" s="44" t="s">
        <v>4</v>
      </c>
      <c r="G462" s="44">
        <v>1</v>
      </c>
      <c r="H462" s="58">
        <v>243</v>
      </c>
      <c r="I462" s="47">
        <v>243</v>
      </c>
      <c r="J462" s="50"/>
    </row>
    <row r="463" spans="3:10" ht="57">
      <c r="C463" s="35"/>
      <c r="D463" s="42"/>
      <c r="E463" s="19" t="s">
        <v>420</v>
      </c>
      <c r="F463" s="45"/>
      <c r="G463" s="45"/>
      <c r="H463" s="45"/>
      <c r="I463" s="48"/>
      <c r="J463" s="32"/>
    </row>
    <row r="464" spans="3:10">
      <c r="C464" s="35"/>
      <c r="D464" s="42"/>
      <c r="E464" s="19" t="s">
        <v>424</v>
      </c>
      <c r="F464" s="45"/>
      <c r="G464" s="45"/>
      <c r="H464" s="45"/>
      <c r="I464" s="48"/>
      <c r="J464" s="32"/>
    </row>
    <row r="465" spans="3:10" ht="24" thickBot="1">
      <c r="C465" s="36"/>
      <c r="D465" s="43"/>
      <c r="E465" s="13" t="s">
        <v>425</v>
      </c>
      <c r="F465" s="46"/>
      <c r="G465" s="46"/>
      <c r="H465" s="46"/>
      <c r="I465" s="49"/>
      <c r="J465" s="51"/>
    </row>
    <row r="466" spans="3:10" ht="57">
      <c r="C466" s="34">
        <v>5</v>
      </c>
      <c r="D466" s="41">
        <v>20402002003</v>
      </c>
      <c r="E466" s="19" t="s">
        <v>426</v>
      </c>
      <c r="F466" s="44" t="s">
        <v>4</v>
      </c>
      <c r="G466" s="44">
        <v>102.1</v>
      </c>
      <c r="H466" s="44">
        <v>291</v>
      </c>
      <c r="I466" s="47">
        <v>29711.1</v>
      </c>
      <c r="J466" s="50"/>
    </row>
    <row r="467" spans="3:10" ht="57">
      <c r="C467" s="35"/>
      <c r="D467" s="42"/>
      <c r="E467" s="19" t="s">
        <v>420</v>
      </c>
      <c r="F467" s="45"/>
      <c r="G467" s="45"/>
      <c r="H467" s="45"/>
      <c r="I467" s="48"/>
      <c r="J467" s="32"/>
    </row>
    <row r="468" spans="3:10">
      <c r="C468" s="35"/>
      <c r="D468" s="42"/>
      <c r="E468" s="19" t="s">
        <v>424</v>
      </c>
      <c r="F468" s="45"/>
      <c r="G468" s="45"/>
      <c r="H468" s="45"/>
      <c r="I468" s="48"/>
      <c r="J468" s="32"/>
    </row>
    <row r="469" spans="3:10" ht="24" thickBot="1">
      <c r="C469" s="36"/>
      <c r="D469" s="43"/>
      <c r="E469" s="13" t="s">
        <v>425</v>
      </c>
      <c r="F469" s="46"/>
      <c r="G469" s="46"/>
      <c r="H469" s="46"/>
      <c r="I469" s="49"/>
      <c r="J469" s="51"/>
    </row>
    <row r="470" spans="3:10" ht="57">
      <c r="C470" s="34">
        <v>6</v>
      </c>
      <c r="D470" s="41">
        <v>20406001004</v>
      </c>
      <c r="E470" s="19" t="s">
        <v>427</v>
      </c>
      <c r="F470" s="44" t="s">
        <v>4</v>
      </c>
      <c r="G470" s="44">
        <v>597.30999999999995</v>
      </c>
      <c r="H470" s="44">
        <v>247</v>
      </c>
      <c r="I470" s="47">
        <v>147535.57</v>
      </c>
      <c r="J470" s="50"/>
    </row>
    <row r="471" spans="3:10" ht="57">
      <c r="C471" s="35"/>
      <c r="D471" s="42"/>
      <c r="E471" s="19" t="s">
        <v>420</v>
      </c>
      <c r="F471" s="45"/>
      <c r="G471" s="45"/>
      <c r="H471" s="45"/>
      <c r="I471" s="48"/>
      <c r="J471" s="32"/>
    </row>
    <row r="472" spans="3:10">
      <c r="C472" s="35"/>
      <c r="D472" s="42"/>
      <c r="E472" s="19" t="s">
        <v>424</v>
      </c>
      <c r="F472" s="45"/>
      <c r="G472" s="45"/>
      <c r="H472" s="45"/>
      <c r="I472" s="48"/>
      <c r="J472" s="32"/>
    </row>
    <row r="473" spans="3:10" ht="24" thickBot="1">
      <c r="C473" s="36"/>
      <c r="D473" s="43"/>
      <c r="E473" s="13" t="s">
        <v>425</v>
      </c>
      <c r="F473" s="46"/>
      <c r="G473" s="46"/>
      <c r="H473" s="46"/>
      <c r="I473" s="49"/>
      <c r="J473" s="51"/>
    </row>
    <row r="474" spans="3:10" ht="57">
      <c r="C474" s="34">
        <v>7</v>
      </c>
      <c r="D474" s="41">
        <v>20406001005</v>
      </c>
      <c r="E474" s="19" t="s">
        <v>428</v>
      </c>
      <c r="F474" s="44" t="s">
        <v>4</v>
      </c>
      <c r="G474" s="44">
        <v>193.72</v>
      </c>
      <c r="H474" s="44">
        <v>313</v>
      </c>
      <c r="I474" s="47">
        <v>60632.800000000003</v>
      </c>
      <c r="J474" s="50"/>
    </row>
    <row r="475" spans="3:10" ht="57">
      <c r="C475" s="35"/>
      <c r="D475" s="42"/>
      <c r="E475" s="19" t="s">
        <v>420</v>
      </c>
      <c r="F475" s="45"/>
      <c r="G475" s="45"/>
      <c r="H475" s="45"/>
      <c r="I475" s="48"/>
      <c r="J475" s="32"/>
    </row>
    <row r="476" spans="3:10">
      <c r="C476" s="35"/>
      <c r="D476" s="42"/>
      <c r="E476" s="19" t="s">
        <v>424</v>
      </c>
      <c r="F476" s="45"/>
      <c r="G476" s="45"/>
      <c r="H476" s="45"/>
      <c r="I476" s="48"/>
      <c r="J476" s="32"/>
    </row>
    <row r="477" spans="3:10" ht="24" thickBot="1">
      <c r="C477" s="36"/>
      <c r="D477" s="43"/>
      <c r="E477" s="13" t="s">
        <v>425</v>
      </c>
      <c r="F477" s="46"/>
      <c r="G477" s="46"/>
      <c r="H477" s="46"/>
      <c r="I477" s="49"/>
      <c r="J477" s="51"/>
    </row>
    <row r="478" spans="3:10" ht="34.5">
      <c r="C478" s="34">
        <v>8</v>
      </c>
      <c r="D478" s="41">
        <v>20402005001</v>
      </c>
      <c r="E478" s="19" t="s">
        <v>429</v>
      </c>
      <c r="F478" s="44" t="s">
        <v>4</v>
      </c>
      <c r="G478" s="44">
        <v>5.76</v>
      </c>
      <c r="H478" s="44">
        <v>320</v>
      </c>
      <c r="I478" s="47">
        <v>1843.2</v>
      </c>
      <c r="J478" s="50"/>
    </row>
    <row r="479" spans="3:10" ht="23.25">
      <c r="C479" s="35"/>
      <c r="D479" s="42"/>
      <c r="E479" s="19" t="s">
        <v>430</v>
      </c>
      <c r="F479" s="45"/>
      <c r="G479" s="45"/>
      <c r="H479" s="45"/>
      <c r="I479" s="48"/>
      <c r="J479" s="32"/>
    </row>
    <row r="480" spans="3:10" ht="79.5">
      <c r="C480" s="35"/>
      <c r="D480" s="42"/>
      <c r="E480" s="19" t="s">
        <v>431</v>
      </c>
      <c r="F480" s="45"/>
      <c r="G480" s="45"/>
      <c r="H480" s="45"/>
      <c r="I480" s="48"/>
      <c r="J480" s="32"/>
    </row>
    <row r="481" spans="3:10">
      <c r="C481" s="35"/>
      <c r="D481" s="42"/>
      <c r="E481" s="19" t="s">
        <v>424</v>
      </c>
      <c r="F481" s="45"/>
      <c r="G481" s="45"/>
      <c r="H481" s="45"/>
      <c r="I481" s="48"/>
      <c r="J481" s="32"/>
    </row>
    <row r="482" spans="3:10" ht="24" thickBot="1">
      <c r="C482" s="36"/>
      <c r="D482" s="43"/>
      <c r="E482" s="13" t="s">
        <v>425</v>
      </c>
      <c r="F482" s="46"/>
      <c r="G482" s="46"/>
      <c r="H482" s="46"/>
      <c r="I482" s="49"/>
      <c r="J482" s="51"/>
    </row>
    <row r="483" spans="3:10" ht="34.5">
      <c r="C483" s="34">
        <v>9</v>
      </c>
      <c r="D483" s="41">
        <v>20402005002</v>
      </c>
      <c r="E483" s="19" t="s">
        <v>432</v>
      </c>
      <c r="F483" s="44" t="s">
        <v>4</v>
      </c>
      <c r="G483" s="44">
        <v>11.92</v>
      </c>
      <c r="H483" s="44">
        <v>320</v>
      </c>
      <c r="I483" s="47">
        <v>3814.4</v>
      </c>
      <c r="J483" s="50"/>
    </row>
    <row r="484" spans="3:10" ht="23.25">
      <c r="C484" s="35"/>
      <c r="D484" s="42"/>
      <c r="E484" s="19" t="s">
        <v>433</v>
      </c>
      <c r="F484" s="45"/>
      <c r="G484" s="45"/>
      <c r="H484" s="45"/>
      <c r="I484" s="48"/>
      <c r="J484" s="32"/>
    </row>
    <row r="485" spans="3:10" ht="79.5">
      <c r="C485" s="35"/>
      <c r="D485" s="42"/>
      <c r="E485" s="19" t="s">
        <v>431</v>
      </c>
      <c r="F485" s="45"/>
      <c r="G485" s="45"/>
      <c r="H485" s="45"/>
      <c r="I485" s="48"/>
      <c r="J485" s="32"/>
    </row>
    <row r="486" spans="3:10">
      <c r="C486" s="35"/>
      <c r="D486" s="42"/>
      <c r="E486" s="19" t="s">
        <v>424</v>
      </c>
      <c r="F486" s="45"/>
      <c r="G486" s="45"/>
      <c r="H486" s="45"/>
      <c r="I486" s="48"/>
      <c r="J486" s="32"/>
    </row>
    <row r="487" spans="3:10" ht="24" thickBot="1">
      <c r="C487" s="36"/>
      <c r="D487" s="43"/>
      <c r="E487" s="13" t="s">
        <v>425</v>
      </c>
      <c r="F487" s="46"/>
      <c r="G487" s="46"/>
      <c r="H487" s="46"/>
      <c r="I487" s="49"/>
      <c r="J487" s="51"/>
    </row>
    <row r="488" spans="3:10" ht="34.5">
      <c r="C488" s="34">
        <v>10</v>
      </c>
      <c r="D488" s="41">
        <v>10501004001</v>
      </c>
      <c r="E488" s="19" t="s">
        <v>434</v>
      </c>
      <c r="F488" s="44" t="s">
        <v>4</v>
      </c>
      <c r="G488" s="44">
        <v>2.2000000000000002</v>
      </c>
      <c r="H488" s="44">
        <v>360</v>
      </c>
      <c r="I488" s="47">
        <v>792</v>
      </c>
      <c r="J488" s="50"/>
    </row>
    <row r="489" spans="3:10" ht="23.25">
      <c r="C489" s="35"/>
      <c r="D489" s="42"/>
      <c r="E489" s="19" t="s">
        <v>435</v>
      </c>
      <c r="F489" s="45"/>
      <c r="G489" s="45"/>
      <c r="H489" s="45"/>
      <c r="I489" s="48"/>
      <c r="J489" s="32"/>
    </row>
    <row r="490" spans="3:10" ht="79.5">
      <c r="C490" s="35"/>
      <c r="D490" s="42"/>
      <c r="E490" s="19" t="s">
        <v>436</v>
      </c>
      <c r="F490" s="45"/>
      <c r="G490" s="45"/>
      <c r="H490" s="45"/>
      <c r="I490" s="48"/>
      <c r="J490" s="32"/>
    </row>
    <row r="491" spans="3:10">
      <c r="C491" s="35"/>
      <c r="D491" s="42"/>
      <c r="E491" s="19" t="s">
        <v>424</v>
      </c>
      <c r="F491" s="45"/>
      <c r="G491" s="45"/>
      <c r="H491" s="45"/>
      <c r="I491" s="48"/>
      <c r="J491" s="32"/>
    </row>
    <row r="492" spans="3:10" ht="24" thickBot="1">
      <c r="C492" s="36"/>
      <c r="D492" s="43"/>
      <c r="E492" s="13" t="s">
        <v>425</v>
      </c>
      <c r="F492" s="46"/>
      <c r="G492" s="46"/>
      <c r="H492" s="46"/>
      <c r="I492" s="49"/>
      <c r="J492" s="51"/>
    </row>
    <row r="493" spans="3:10" ht="34.5">
      <c r="C493" s="34">
        <v>11</v>
      </c>
      <c r="D493" s="41">
        <v>10501001001</v>
      </c>
      <c r="E493" s="19" t="s">
        <v>437</v>
      </c>
      <c r="F493" s="44" t="s">
        <v>4</v>
      </c>
      <c r="G493" s="44">
        <v>462.24</v>
      </c>
      <c r="H493" s="44">
        <v>230</v>
      </c>
      <c r="I493" s="47">
        <v>106315.2</v>
      </c>
      <c r="J493" s="50"/>
    </row>
    <row r="494" spans="3:10" ht="23.25">
      <c r="C494" s="35"/>
      <c r="D494" s="42"/>
      <c r="E494" s="19" t="s">
        <v>438</v>
      </c>
      <c r="F494" s="45"/>
      <c r="G494" s="45"/>
      <c r="H494" s="45"/>
      <c r="I494" s="48"/>
      <c r="J494" s="32"/>
    </row>
    <row r="495" spans="3:10" ht="23.25">
      <c r="C495" s="35"/>
      <c r="D495" s="42"/>
      <c r="E495" s="19" t="s">
        <v>439</v>
      </c>
      <c r="F495" s="45"/>
      <c r="G495" s="45"/>
      <c r="H495" s="45"/>
      <c r="I495" s="48"/>
      <c r="J495" s="32"/>
    </row>
    <row r="496" spans="3:10" ht="35.25" thickBot="1">
      <c r="C496" s="36"/>
      <c r="D496" s="43"/>
      <c r="E496" s="13" t="s">
        <v>440</v>
      </c>
      <c r="F496" s="46"/>
      <c r="G496" s="46"/>
      <c r="H496" s="46"/>
      <c r="I496" s="49"/>
      <c r="J496" s="51"/>
    </row>
    <row r="497" spans="3:10" ht="45.75">
      <c r="C497" s="34">
        <v>12</v>
      </c>
      <c r="D497" s="41">
        <v>10501001001</v>
      </c>
      <c r="E497" s="19" t="s">
        <v>441</v>
      </c>
      <c r="F497" s="44" t="s">
        <v>4</v>
      </c>
      <c r="G497" s="44">
        <v>6.6</v>
      </c>
      <c r="H497" s="44">
        <v>230</v>
      </c>
      <c r="I497" s="47">
        <v>1518</v>
      </c>
      <c r="J497" s="50"/>
    </row>
    <row r="498" spans="3:10" ht="23.25">
      <c r="C498" s="35"/>
      <c r="D498" s="42"/>
      <c r="E498" s="19" t="s">
        <v>438</v>
      </c>
      <c r="F498" s="45"/>
      <c r="G498" s="45"/>
      <c r="H498" s="45"/>
      <c r="I498" s="48"/>
      <c r="J498" s="32"/>
    </row>
    <row r="499" spans="3:10" ht="23.25">
      <c r="C499" s="35"/>
      <c r="D499" s="42"/>
      <c r="E499" s="19" t="s">
        <v>439</v>
      </c>
      <c r="F499" s="45"/>
      <c r="G499" s="45"/>
      <c r="H499" s="45"/>
      <c r="I499" s="48"/>
      <c r="J499" s="32"/>
    </row>
    <row r="500" spans="3:10" ht="35.25" thickBot="1">
      <c r="C500" s="36"/>
      <c r="D500" s="43"/>
      <c r="E500" s="13" t="s">
        <v>440</v>
      </c>
      <c r="F500" s="46"/>
      <c r="G500" s="46"/>
      <c r="H500" s="46"/>
      <c r="I500" s="49"/>
      <c r="J500" s="51"/>
    </row>
    <row r="501" spans="3:10" ht="34.5">
      <c r="C501" s="34">
        <v>13</v>
      </c>
      <c r="D501" s="41">
        <v>20406002001</v>
      </c>
      <c r="E501" s="19" t="s">
        <v>442</v>
      </c>
      <c r="F501" s="44" t="s">
        <v>4</v>
      </c>
      <c r="G501" s="44">
        <v>11.34</v>
      </c>
      <c r="H501" s="44">
        <v>280</v>
      </c>
      <c r="I501" s="47">
        <v>3175.2</v>
      </c>
      <c r="J501" s="50"/>
    </row>
    <row r="502" spans="3:10" ht="34.5">
      <c r="C502" s="35"/>
      <c r="D502" s="42"/>
      <c r="E502" s="19" t="s">
        <v>443</v>
      </c>
      <c r="F502" s="45"/>
      <c r="G502" s="45"/>
      <c r="H502" s="45"/>
      <c r="I502" s="48"/>
      <c r="J502" s="32"/>
    </row>
    <row r="503" spans="3:10" ht="57">
      <c r="C503" s="35"/>
      <c r="D503" s="42"/>
      <c r="E503" s="19" t="s">
        <v>420</v>
      </c>
      <c r="F503" s="45"/>
      <c r="G503" s="45"/>
      <c r="H503" s="45"/>
      <c r="I503" s="48"/>
      <c r="J503" s="32"/>
    </row>
    <row r="504" spans="3:10">
      <c r="C504" s="35"/>
      <c r="D504" s="42"/>
      <c r="E504" s="19" t="s">
        <v>424</v>
      </c>
      <c r="F504" s="45"/>
      <c r="G504" s="45"/>
      <c r="H504" s="45"/>
      <c r="I504" s="48"/>
      <c r="J504" s="32"/>
    </row>
    <row r="505" spans="3:10" ht="24" thickBot="1">
      <c r="C505" s="36"/>
      <c r="D505" s="43"/>
      <c r="E505" s="13" t="s">
        <v>425</v>
      </c>
      <c r="F505" s="46"/>
      <c r="G505" s="46"/>
      <c r="H505" s="46"/>
      <c r="I505" s="49"/>
      <c r="J505" s="51"/>
    </row>
    <row r="506" spans="3:10" ht="45.75">
      <c r="C506" s="34">
        <v>14</v>
      </c>
      <c r="D506" s="41">
        <v>20406002002</v>
      </c>
      <c r="E506" s="19" t="s">
        <v>444</v>
      </c>
      <c r="F506" s="44" t="s">
        <v>4</v>
      </c>
      <c r="G506" s="44">
        <v>697.13</v>
      </c>
      <c r="H506" s="44">
        <v>280</v>
      </c>
      <c r="I506" s="47">
        <v>195196.4</v>
      </c>
      <c r="J506" s="50"/>
    </row>
    <row r="507" spans="3:10" ht="34.5">
      <c r="C507" s="35"/>
      <c r="D507" s="42"/>
      <c r="E507" s="19" t="s">
        <v>443</v>
      </c>
      <c r="F507" s="45"/>
      <c r="G507" s="45"/>
      <c r="H507" s="45"/>
      <c r="I507" s="48"/>
      <c r="J507" s="32"/>
    </row>
    <row r="508" spans="3:10" ht="57">
      <c r="C508" s="35"/>
      <c r="D508" s="42"/>
      <c r="E508" s="19" t="s">
        <v>420</v>
      </c>
      <c r="F508" s="45"/>
      <c r="G508" s="45"/>
      <c r="H508" s="45"/>
      <c r="I508" s="48"/>
      <c r="J508" s="32"/>
    </row>
    <row r="509" spans="3:10">
      <c r="C509" s="35"/>
      <c r="D509" s="42"/>
      <c r="E509" s="19" t="s">
        <v>424</v>
      </c>
      <c r="F509" s="45"/>
      <c r="G509" s="45"/>
      <c r="H509" s="45"/>
      <c r="I509" s="48"/>
      <c r="J509" s="32"/>
    </row>
    <row r="510" spans="3:10" ht="24" thickBot="1">
      <c r="C510" s="36"/>
      <c r="D510" s="43"/>
      <c r="E510" s="13" t="s">
        <v>425</v>
      </c>
      <c r="F510" s="46"/>
      <c r="G510" s="46"/>
      <c r="H510" s="46"/>
      <c r="I510" s="49"/>
      <c r="J510" s="51"/>
    </row>
    <row r="511" spans="3:10" ht="34.5">
      <c r="C511" s="34">
        <v>15</v>
      </c>
      <c r="D511" s="41">
        <v>20401006002</v>
      </c>
      <c r="E511" s="19" t="s">
        <v>445</v>
      </c>
      <c r="F511" s="44" t="s">
        <v>4</v>
      </c>
      <c r="G511" s="44">
        <v>75.040000000000006</v>
      </c>
      <c r="H511" s="44">
        <v>450</v>
      </c>
      <c r="I511" s="47">
        <v>33768</v>
      </c>
      <c r="J511" s="50"/>
    </row>
    <row r="512" spans="3:10" ht="45.75">
      <c r="C512" s="35"/>
      <c r="D512" s="42"/>
      <c r="E512" s="19" t="s">
        <v>446</v>
      </c>
      <c r="F512" s="45"/>
      <c r="G512" s="45"/>
      <c r="H512" s="45"/>
      <c r="I512" s="48"/>
      <c r="J512" s="32"/>
    </row>
    <row r="513" spans="3:10" ht="23.25">
      <c r="C513" s="35"/>
      <c r="D513" s="42"/>
      <c r="E513" s="19" t="s">
        <v>447</v>
      </c>
      <c r="F513" s="45"/>
      <c r="G513" s="45"/>
      <c r="H513" s="45"/>
      <c r="I513" s="48"/>
      <c r="J513" s="32"/>
    </row>
    <row r="514" spans="3:10" ht="35.25" thickBot="1">
      <c r="C514" s="36"/>
      <c r="D514" s="43"/>
      <c r="E514" s="13" t="s">
        <v>448</v>
      </c>
      <c r="F514" s="46"/>
      <c r="G514" s="46"/>
      <c r="H514" s="46"/>
      <c r="I514" s="49"/>
      <c r="J514" s="51"/>
    </row>
    <row r="515" spans="3:10" ht="23.25">
      <c r="C515" s="34">
        <v>16</v>
      </c>
      <c r="D515" s="41">
        <v>20403001001</v>
      </c>
      <c r="E515" s="19" t="s">
        <v>449</v>
      </c>
      <c r="F515" s="44" t="s">
        <v>4</v>
      </c>
      <c r="G515" s="44">
        <v>24</v>
      </c>
      <c r="H515" s="44">
        <v>300</v>
      </c>
      <c r="I515" s="47">
        <v>7200</v>
      </c>
      <c r="J515" s="50"/>
    </row>
    <row r="516" spans="3:10" ht="23.25">
      <c r="C516" s="35"/>
      <c r="D516" s="42"/>
      <c r="E516" s="19" t="s">
        <v>450</v>
      </c>
      <c r="F516" s="45"/>
      <c r="G516" s="45"/>
      <c r="H516" s="45"/>
      <c r="I516" s="48"/>
      <c r="J516" s="32"/>
    </row>
    <row r="517" spans="3:10" ht="34.5">
      <c r="C517" s="35"/>
      <c r="D517" s="42"/>
      <c r="E517" s="19" t="s">
        <v>451</v>
      </c>
      <c r="F517" s="45"/>
      <c r="G517" s="45"/>
      <c r="H517" s="45"/>
      <c r="I517" s="48"/>
      <c r="J517" s="32"/>
    </row>
    <row r="518" spans="3:10" ht="24" thickBot="1">
      <c r="C518" s="36"/>
      <c r="D518" s="43"/>
      <c r="E518" s="13" t="s">
        <v>452</v>
      </c>
      <c r="F518" s="46"/>
      <c r="G518" s="46"/>
      <c r="H518" s="46"/>
      <c r="I518" s="49"/>
      <c r="J518" s="51"/>
    </row>
    <row r="519" spans="3:10" ht="34.5">
      <c r="C519" s="34">
        <v>17</v>
      </c>
      <c r="D519" s="41">
        <v>20406004001</v>
      </c>
      <c r="E519" s="19" t="s">
        <v>453</v>
      </c>
      <c r="F519" s="44" t="s">
        <v>4</v>
      </c>
      <c r="G519" s="44">
        <v>17.55</v>
      </c>
      <c r="H519" s="52">
        <v>230</v>
      </c>
      <c r="I519" s="38">
        <v>4036.5</v>
      </c>
      <c r="J519" s="50"/>
    </row>
    <row r="520" spans="3:10" ht="34.5">
      <c r="C520" s="35"/>
      <c r="D520" s="42"/>
      <c r="E520" s="19" t="s">
        <v>454</v>
      </c>
      <c r="F520" s="45"/>
      <c r="G520" s="45"/>
      <c r="H520" s="53"/>
      <c r="I520" s="39"/>
      <c r="J520" s="32"/>
    </row>
    <row r="521" spans="3:10" ht="57">
      <c r="C521" s="35"/>
      <c r="D521" s="42"/>
      <c r="E521" s="19" t="s">
        <v>455</v>
      </c>
      <c r="F521" s="45"/>
      <c r="G521" s="45"/>
      <c r="H521" s="53"/>
      <c r="I521" s="39"/>
      <c r="J521" s="32"/>
    </row>
    <row r="522" spans="3:10" ht="24" thickBot="1">
      <c r="C522" s="36"/>
      <c r="D522" s="43"/>
      <c r="E522" s="13" t="s">
        <v>456</v>
      </c>
      <c r="F522" s="46"/>
      <c r="G522" s="46"/>
      <c r="H522" s="54"/>
      <c r="I522" s="40"/>
      <c r="J522" s="51"/>
    </row>
    <row r="523" spans="3:10" ht="35.25" thickBot="1">
      <c r="C523" s="3"/>
      <c r="D523" s="12" t="s">
        <v>457</v>
      </c>
      <c r="E523" s="13" t="s">
        <v>458</v>
      </c>
      <c r="F523" s="13"/>
      <c r="G523" s="12"/>
      <c r="H523" s="12"/>
      <c r="I523" s="14"/>
      <c r="J523" s="15"/>
    </row>
    <row r="524" spans="3:10" ht="57">
      <c r="C524" s="34">
        <v>1</v>
      </c>
      <c r="D524" s="41">
        <v>20507001001</v>
      </c>
      <c r="E524" s="6" t="s">
        <v>459</v>
      </c>
      <c r="F524" s="37" t="s">
        <v>4</v>
      </c>
      <c r="G524" s="41">
        <v>1412.97</v>
      </c>
      <c r="H524" s="44">
        <v>42.67</v>
      </c>
      <c r="I524" s="47">
        <v>60291.43</v>
      </c>
      <c r="J524" s="50"/>
    </row>
    <row r="525" spans="3:10" ht="45.75">
      <c r="C525" s="35"/>
      <c r="D525" s="42"/>
      <c r="E525" s="6" t="s">
        <v>460</v>
      </c>
      <c r="F525" s="35"/>
      <c r="G525" s="42"/>
      <c r="H525" s="45"/>
      <c r="I525" s="48"/>
      <c r="J525" s="32"/>
    </row>
    <row r="526" spans="3:10" ht="45.75">
      <c r="C526" s="35"/>
      <c r="D526" s="42"/>
      <c r="E526" s="6" t="s">
        <v>461</v>
      </c>
      <c r="F526" s="35"/>
      <c r="G526" s="42"/>
      <c r="H526" s="45"/>
      <c r="I526" s="48"/>
      <c r="J526" s="32"/>
    </row>
    <row r="527" spans="3:10" ht="34.5">
      <c r="C527" s="35"/>
      <c r="D527" s="42"/>
      <c r="E527" s="6" t="s">
        <v>462</v>
      </c>
      <c r="F527" s="35"/>
      <c r="G527" s="42"/>
      <c r="H527" s="45"/>
      <c r="I527" s="48"/>
      <c r="J527" s="32"/>
    </row>
    <row r="528" spans="3:10" ht="23.25">
      <c r="C528" s="35"/>
      <c r="D528" s="42"/>
      <c r="E528" s="6" t="s">
        <v>463</v>
      </c>
      <c r="F528" s="35"/>
      <c r="G528" s="42"/>
      <c r="H528" s="45"/>
      <c r="I528" s="48"/>
      <c r="J528" s="32"/>
    </row>
    <row r="529" spans="3:10" ht="23.25">
      <c r="C529" s="35"/>
      <c r="D529" s="42"/>
      <c r="E529" s="6" t="s">
        <v>464</v>
      </c>
      <c r="F529" s="35"/>
      <c r="G529" s="42"/>
      <c r="H529" s="45"/>
      <c r="I529" s="48"/>
      <c r="J529" s="32"/>
    </row>
    <row r="530" spans="3:10" ht="46.5" thickBot="1">
      <c r="C530" s="36"/>
      <c r="D530" s="43"/>
      <c r="E530" s="4" t="s">
        <v>465</v>
      </c>
      <c r="F530" s="36"/>
      <c r="G530" s="43"/>
      <c r="H530" s="46"/>
      <c r="I530" s="49"/>
      <c r="J530" s="33"/>
    </row>
    <row r="531" spans="3:10" ht="45.75">
      <c r="C531" s="34">
        <v>2</v>
      </c>
      <c r="D531" s="41">
        <v>20507001002</v>
      </c>
      <c r="E531" s="6" t="s">
        <v>466</v>
      </c>
      <c r="F531" s="34" t="s">
        <v>4</v>
      </c>
      <c r="G531" s="41">
        <v>504.87</v>
      </c>
      <c r="H531" s="44">
        <v>42.67</v>
      </c>
      <c r="I531" s="47">
        <v>21542.799999999999</v>
      </c>
      <c r="J531" s="31"/>
    </row>
    <row r="532" spans="3:10" ht="45.75">
      <c r="C532" s="35"/>
      <c r="D532" s="42"/>
      <c r="E532" s="6" t="s">
        <v>460</v>
      </c>
      <c r="F532" s="35"/>
      <c r="G532" s="42"/>
      <c r="H532" s="45"/>
      <c r="I532" s="48"/>
      <c r="J532" s="32"/>
    </row>
    <row r="533" spans="3:10" ht="45.75">
      <c r="C533" s="35"/>
      <c r="D533" s="42"/>
      <c r="E533" s="6" t="s">
        <v>461</v>
      </c>
      <c r="F533" s="35"/>
      <c r="G533" s="42"/>
      <c r="H533" s="45"/>
      <c r="I533" s="48"/>
      <c r="J533" s="32"/>
    </row>
    <row r="534" spans="3:10" ht="34.5">
      <c r="C534" s="35"/>
      <c r="D534" s="42"/>
      <c r="E534" s="6" t="s">
        <v>462</v>
      </c>
      <c r="F534" s="35"/>
      <c r="G534" s="42"/>
      <c r="H534" s="45"/>
      <c r="I534" s="48"/>
      <c r="J534" s="32"/>
    </row>
    <row r="535" spans="3:10" ht="23.25">
      <c r="C535" s="35"/>
      <c r="D535" s="42"/>
      <c r="E535" s="6" t="s">
        <v>463</v>
      </c>
      <c r="F535" s="35"/>
      <c r="G535" s="42"/>
      <c r="H535" s="45"/>
      <c r="I535" s="48"/>
      <c r="J535" s="32"/>
    </row>
    <row r="536" spans="3:10" ht="23.25">
      <c r="C536" s="35"/>
      <c r="D536" s="42"/>
      <c r="E536" s="6" t="s">
        <v>464</v>
      </c>
      <c r="F536" s="35"/>
      <c r="G536" s="42"/>
      <c r="H536" s="45"/>
      <c r="I536" s="48"/>
      <c r="J536" s="32"/>
    </row>
    <row r="537" spans="3:10" ht="46.5" thickBot="1">
      <c r="C537" s="36"/>
      <c r="D537" s="43"/>
      <c r="E537" s="4" t="s">
        <v>465</v>
      </c>
      <c r="F537" s="36"/>
      <c r="G537" s="43"/>
      <c r="H537" s="46"/>
      <c r="I537" s="49"/>
      <c r="J537" s="33"/>
    </row>
    <row r="538" spans="3:10" ht="90.75">
      <c r="C538" s="34">
        <v>3</v>
      </c>
      <c r="D538" s="37">
        <v>20507001003</v>
      </c>
      <c r="E538" s="6" t="s">
        <v>467</v>
      </c>
      <c r="F538" s="34" t="s">
        <v>4</v>
      </c>
      <c r="G538" s="37">
        <v>42282.26</v>
      </c>
      <c r="H538" s="37">
        <v>12.77</v>
      </c>
      <c r="I538" s="38">
        <v>539944.46</v>
      </c>
      <c r="J538" s="31"/>
    </row>
    <row r="539" spans="3:10">
      <c r="C539" s="35"/>
      <c r="D539" s="35"/>
      <c r="E539" s="6" t="s">
        <v>468</v>
      </c>
      <c r="F539" s="35"/>
      <c r="G539" s="35"/>
      <c r="H539" s="35"/>
      <c r="I539" s="39"/>
      <c r="J539" s="32"/>
    </row>
    <row r="540" spans="3:10" ht="35.25" thickBot="1">
      <c r="C540" s="36"/>
      <c r="D540" s="36"/>
      <c r="E540" s="4" t="s">
        <v>469</v>
      </c>
      <c r="F540" s="36"/>
      <c r="G540" s="36"/>
      <c r="H540" s="36"/>
      <c r="I540" s="40"/>
      <c r="J540" s="33"/>
    </row>
    <row r="541" spans="3:10" ht="24" thickBot="1">
      <c r="C541" s="3"/>
      <c r="D541" s="25" t="s">
        <v>470</v>
      </c>
      <c r="E541" s="13" t="s">
        <v>471</v>
      </c>
      <c r="F541" s="12" t="s">
        <v>470</v>
      </c>
      <c r="G541" s="25"/>
      <c r="H541" s="25"/>
      <c r="I541" s="14"/>
      <c r="J541" s="26"/>
    </row>
    <row r="542" spans="3:10" ht="24" thickBot="1">
      <c r="C542" s="3">
        <v>1</v>
      </c>
      <c r="D542" s="13">
        <v>20609001001</v>
      </c>
      <c r="E542" s="13" t="s">
        <v>472</v>
      </c>
      <c r="F542" s="12" t="s">
        <v>473</v>
      </c>
      <c r="G542" s="25">
        <v>216</v>
      </c>
      <c r="H542" s="1">
        <v>70</v>
      </c>
      <c r="I542" s="14">
        <v>15120</v>
      </c>
      <c r="J542" s="26"/>
    </row>
    <row r="543" spans="3:10" ht="15" thickBot="1">
      <c r="C543" s="28" t="s">
        <v>131</v>
      </c>
      <c r="D543" s="29"/>
      <c r="E543" s="29"/>
      <c r="F543" s="29"/>
      <c r="G543" s="29"/>
      <c r="H543" s="30"/>
      <c r="I543" s="20">
        <v>12743377.699999999</v>
      </c>
      <c r="J543" s="21"/>
    </row>
  </sheetData>
  <mergeCells count="898">
    <mergeCell ref="H3:H4"/>
    <mergeCell ref="A7:A10"/>
    <mergeCell ref="B7:B10"/>
    <mergeCell ref="D7:D10"/>
    <mergeCell ref="E7:E10"/>
    <mergeCell ref="F7:F10"/>
    <mergeCell ref="G7:G10"/>
    <mergeCell ref="H7:H10"/>
    <mergeCell ref="A3:A4"/>
    <mergeCell ref="B3:B4"/>
    <mergeCell ref="C3:C4"/>
    <mergeCell ref="D3:D4"/>
    <mergeCell ref="E3:E4"/>
    <mergeCell ref="F3:G3"/>
    <mergeCell ref="H11:H15"/>
    <mergeCell ref="A16:A19"/>
    <mergeCell ref="B16:B19"/>
    <mergeCell ref="D16:D19"/>
    <mergeCell ref="E16:E19"/>
    <mergeCell ref="F16:F19"/>
    <mergeCell ref="G16:G19"/>
    <mergeCell ref="H16:H19"/>
    <mergeCell ref="A11:A15"/>
    <mergeCell ref="B11:B15"/>
    <mergeCell ref="D11:D15"/>
    <mergeCell ref="E11:E15"/>
    <mergeCell ref="F11:F15"/>
    <mergeCell ref="G11:G15"/>
    <mergeCell ref="H20:H24"/>
    <mergeCell ref="A25:A28"/>
    <mergeCell ref="B25:B28"/>
    <mergeCell ref="D25:D28"/>
    <mergeCell ref="E25:E28"/>
    <mergeCell ref="F25:F28"/>
    <mergeCell ref="G25:G28"/>
    <mergeCell ref="H25:H28"/>
    <mergeCell ref="A20:A24"/>
    <mergeCell ref="B20:B24"/>
    <mergeCell ref="D20:D24"/>
    <mergeCell ref="E20:E24"/>
    <mergeCell ref="F20:F24"/>
    <mergeCell ref="G20:G24"/>
    <mergeCell ref="H30:H32"/>
    <mergeCell ref="A33:A36"/>
    <mergeCell ref="B33:B36"/>
    <mergeCell ref="D33:D36"/>
    <mergeCell ref="E33:E36"/>
    <mergeCell ref="F33:F36"/>
    <mergeCell ref="G33:G36"/>
    <mergeCell ref="H33:H36"/>
    <mergeCell ref="A30:A32"/>
    <mergeCell ref="B30:B32"/>
    <mergeCell ref="D30:D32"/>
    <mergeCell ref="E30:E32"/>
    <mergeCell ref="F30:F32"/>
    <mergeCell ref="G30:G32"/>
    <mergeCell ref="H38:H40"/>
    <mergeCell ref="A42:A45"/>
    <mergeCell ref="B42:B45"/>
    <mergeCell ref="D42:D45"/>
    <mergeCell ref="E42:E45"/>
    <mergeCell ref="F42:F45"/>
    <mergeCell ref="G42:G45"/>
    <mergeCell ref="H42:H45"/>
    <mergeCell ref="A38:A40"/>
    <mergeCell ref="B38:B40"/>
    <mergeCell ref="D38:D40"/>
    <mergeCell ref="E38:E40"/>
    <mergeCell ref="F38:F40"/>
    <mergeCell ref="G38:G40"/>
    <mergeCell ref="H46:H49"/>
    <mergeCell ref="A50:A53"/>
    <mergeCell ref="B50:B53"/>
    <mergeCell ref="D50:D53"/>
    <mergeCell ref="E50:E53"/>
    <mergeCell ref="F50:F53"/>
    <mergeCell ref="G50:G53"/>
    <mergeCell ref="H50:H53"/>
    <mergeCell ref="A46:A49"/>
    <mergeCell ref="B46:B49"/>
    <mergeCell ref="D46:D49"/>
    <mergeCell ref="E46:E49"/>
    <mergeCell ref="F46:F49"/>
    <mergeCell ref="G46:G49"/>
    <mergeCell ref="H54:H57"/>
    <mergeCell ref="A58:A61"/>
    <mergeCell ref="B58:B61"/>
    <mergeCell ref="D58:D61"/>
    <mergeCell ref="E58:E61"/>
    <mergeCell ref="F58:F61"/>
    <mergeCell ref="G58:G61"/>
    <mergeCell ref="H58:H61"/>
    <mergeCell ref="A54:A57"/>
    <mergeCell ref="B54:B57"/>
    <mergeCell ref="D54:D57"/>
    <mergeCell ref="E54:E57"/>
    <mergeCell ref="F54:F57"/>
    <mergeCell ref="G54:G57"/>
    <mergeCell ref="H62:H64"/>
    <mergeCell ref="A65:A67"/>
    <mergeCell ref="B65:B67"/>
    <mergeCell ref="D65:D67"/>
    <mergeCell ref="E65:E67"/>
    <mergeCell ref="F65:F67"/>
    <mergeCell ref="G65:G67"/>
    <mergeCell ref="H65:H67"/>
    <mergeCell ref="A62:A64"/>
    <mergeCell ref="B62:B64"/>
    <mergeCell ref="D62:D64"/>
    <mergeCell ref="E62:E64"/>
    <mergeCell ref="F62:F64"/>
    <mergeCell ref="G62:G64"/>
    <mergeCell ref="H68:H70"/>
    <mergeCell ref="A71:F71"/>
    <mergeCell ref="A78:A79"/>
    <mergeCell ref="B78:B79"/>
    <mergeCell ref="C78:C79"/>
    <mergeCell ref="D78:D79"/>
    <mergeCell ref="E78:E79"/>
    <mergeCell ref="F78:G78"/>
    <mergeCell ref="H78:H79"/>
    <mergeCell ref="A68:A70"/>
    <mergeCell ref="B68:B70"/>
    <mergeCell ref="D68:D70"/>
    <mergeCell ref="E68:E70"/>
    <mergeCell ref="F68:F70"/>
    <mergeCell ref="G68:G70"/>
    <mergeCell ref="H82:H84"/>
    <mergeCell ref="A86:A89"/>
    <mergeCell ref="B86:B89"/>
    <mergeCell ref="D86:D89"/>
    <mergeCell ref="E86:E89"/>
    <mergeCell ref="F86:F89"/>
    <mergeCell ref="G86:G89"/>
    <mergeCell ref="H86:H89"/>
    <mergeCell ref="A82:A84"/>
    <mergeCell ref="B82:B84"/>
    <mergeCell ref="D82:D84"/>
    <mergeCell ref="E82:E84"/>
    <mergeCell ref="F82:F84"/>
    <mergeCell ref="G82:G84"/>
    <mergeCell ref="H90:H92"/>
    <mergeCell ref="A93:A94"/>
    <mergeCell ref="B93:B94"/>
    <mergeCell ref="D93:D94"/>
    <mergeCell ref="E93:E94"/>
    <mergeCell ref="F93:F94"/>
    <mergeCell ref="G93:G94"/>
    <mergeCell ref="H93:H94"/>
    <mergeCell ref="A90:A92"/>
    <mergeCell ref="B90:B92"/>
    <mergeCell ref="D90:D92"/>
    <mergeCell ref="E90:E92"/>
    <mergeCell ref="F90:F92"/>
    <mergeCell ref="G90:G92"/>
    <mergeCell ref="H95:H96"/>
    <mergeCell ref="A97:A99"/>
    <mergeCell ref="B97:B99"/>
    <mergeCell ref="D97:D99"/>
    <mergeCell ref="E97:E99"/>
    <mergeCell ref="F97:F99"/>
    <mergeCell ref="G97:G99"/>
    <mergeCell ref="H97:H99"/>
    <mergeCell ref="A95:A96"/>
    <mergeCell ref="B95:B96"/>
    <mergeCell ref="D95:D96"/>
    <mergeCell ref="E95:E96"/>
    <mergeCell ref="F95:F96"/>
    <mergeCell ref="G95:G96"/>
    <mergeCell ref="H100:H102"/>
    <mergeCell ref="A103:A109"/>
    <mergeCell ref="B103:B109"/>
    <mergeCell ref="D103:D109"/>
    <mergeCell ref="E103:E109"/>
    <mergeCell ref="F103:F109"/>
    <mergeCell ref="G103:G109"/>
    <mergeCell ref="H103:H109"/>
    <mergeCell ref="A100:A102"/>
    <mergeCell ref="B100:B102"/>
    <mergeCell ref="D100:D102"/>
    <mergeCell ref="E100:E102"/>
    <mergeCell ref="F100:F102"/>
    <mergeCell ref="G100:G102"/>
    <mergeCell ref="H111:H114"/>
    <mergeCell ref="A115:A118"/>
    <mergeCell ref="B115:B118"/>
    <mergeCell ref="D115:D118"/>
    <mergeCell ref="E115:E118"/>
    <mergeCell ref="F115:F118"/>
    <mergeCell ref="G115:G118"/>
    <mergeCell ref="H115:H118"/>
    <mergeCell ref="A111:A114"/>
    <mergeCell ref="B111:B114"/>
    <mergeCell ref="D111:D114"/>
    <mergeCell ref="E111:E114"/>
    <mergeCell ref="F111:F114"/>
    <mergeCell ref="G111:G114"/>
    <mergeCell ref="H119:H122"/>
    <mergeCell ref="A123:A126"/>
    <mergeCell ref="B123:B126"/>
    <mergeCell ref="D123:D126"/>
    <mergeCell ref="E123:E126"/>
    <mergeCell ref="F123:F126"/>
    <mergeCell ref="G123:G126"/>
    <mergeCell ref="H123:H126"/>
    <mergeCell ref="A119:A122"/>
    <mergeCell ref="B119:B122"/>
    <mergeCell ref="D119:D122"/>
    <mergeCell ref="E119:E122"/>
    <mergeCell ref="F119:F122"/>
    <mergeCell ref="G119:G122"/>
    <mergeCell ref="H127:H130"/>
    <mergeCell ref="A131:A134"/>
    <mergeCell ref="B131:B134"/>
    <mergeCell ref="D131:D134"/>
    <mergeCell ref="E131:E134"/>
    <mergeCell ref="F131:F134"/>
    <mergeCell ref="G131:G134"/>
    <mergeCell ref="H131:H134"/>
    <mergeCell ref="A127:A130"/>
    <mergeCell ref="B127:B130"/>
    <mergeCell ref="D127:D130"/>
    <mergeCell ref="E127:E130"/>
    <mergeCell ref="F127:F130"/>
    <mergeCell ref="G127:G130"/>
    <mergeCell ref="H135:H138"/>
    <mergeCell ref="A139:A142"/>
    <mergeCell ref="B139:B142"/>
    <mergeCell ref="D139:D142"/>
    <mergeCell ref="E139:E142"/>
    <mergeCell ref="F139:F142"/>
    <mergeCell ref="G139:G142"/>
    <mergeCell ref="H139:H142"/>
    <mergeCell ref="A135:A138"/>
    <mergeCell ref="B135:B138"/>
    <mergeCell ref="D135:D138"/>
    <mergeCell ref="E135:E138"/>
    <mergeCell ref="F135:F138"/>
    <mergeCell ref="G135:G138"/>
    <mergeCell ref="H143:H147"/>
    <mergeCell ref="A148:A151"/>
    <mergeCell ref="B148:B151"/>
    <mergeCell ref="D148:D151"/>
    <mergeCell ref="E148:E151"/>
    <mergeCell ref="F148:F151"/>
    <mergeCell ref="G148:G151"/>
    <mergeCell ref="H148:H151"/>
    <mergeCell ref="A143:A147"/>
    <mergeCell ref="B143:B147"/>
    <mergeCell ref="D143:D147"/>
    <mergeCell ref="E143:E147"/>
    <mergeCell ref="F143:F147"/>
    <mergeCell ref="G143:G147"/>
    <mergeCell ref="H152:H155"/>
    <mergeCell ref="A156:A159"/>
    <mergeCell ref="B156:B159"/>
    <mergeCell ref="D156:D159"/>
    <mergeCell ref="E156:E159"/>
    <mergeCell ref="F156:F159"/>
    <mergeCell ref="G156:G159"/>
    <mergeCell ref="H156:H159"/>
    <mergeCell ref="A152:A155"/>
    <mergeCell ref="B152:B155"/>
    <mergeCell ref="D152:D155"/>
    <mergeCell ref="E152:E155"/>
    <mergeCell ref="F152:F155"/>
    <mergeCell ref="G152:G155"/>
    <mergeCell ref="H160:H163"/>
    <mergeCell ref="A164:A167"/>
    <mergeCell ref="B164:B167"/>
    <mergeCell ref="D164:D167"/>
    <mergeCell ref="E164:E167"/>
    <mergeCell ref="F164:F167"/>
    <mergeCell ref="G164:G167"/>
    <mergeCell ref="H164:H167"/>
    <mergeCell ref="A160:A163"/>
    <mergeCell ref="B160:B163"/>
    <mergeCell ref="D160:D163"/>
    <mergeCell ref="E160:E163"/>
    <mergeCell ref="F160:F163"/>
    <mergeCell ref="G160:G163"/>
    <mergeCell ref="H168:H173"/>
    <mergeCell ref="A174:A179"/>
    <mergeCell ref="B174:B179"/>
    <mergeCell ref="D174:D179"/>
    <mergeCell ref="E174:E179"/>
    <mergeCell ref="F174:F179"/>
    <mergeCell ref="G174:G179"/>
    <mergeCell ref="H174:H179"/>
    <mergeCell ref="A168:A173"/>
    <mergeCell ref="B168:B173"/>
    <mergeCell ref="D168:D173"/>
    <mergeCell ref="E168:E173"/>
    <mergeCell ref="F168:F173"/>
    <mergeCell ref="G168:G173"/>
    <mergeCell ref="H180:H185"/>
    <mergeCell ref="A186:A191"/>
    <mergeCell ref="B186:B191"/>
    <mergeCell ref="D186:D191"/>
    <mergeCell ref="E186:E191"/>
    <mergeCell ref="F186:F191"/>
    <mergeCell ref="G186:G191"/>
    <mergeCell ref="H186:H191"/>
    <mergeCell ref="A180:A185"/>
    <mergeCell ref="B180:B185"/>
    <mergeCell ref="D180:D185"/>
    <mergeCell ref="E180:E185"/>
    <mergeCell ref="F180:F185"/>
    <mergeCell ref="G180:G185"/>
    <mergeCell ref="H192:H195"/>
    <mergeCell ref="A196:A198"/>
    <mergeCell ref="B196:B198"/>
    <mergeCell ref="D196:D198"/>
    <mergeCell ref="E196:E198"/>
    <mergeCell ref="F196:F198"/>
    <mergeCell ref="G196:G198"/>
    <mergeCell ref="H196:H198"/>
    <mergeCell ref="A192:A195"/>
    <mergeCell ref="B192:B195"/>
    <mergeCell ref="D192:D195"/>
    <mergeCell ref="E192:E195"/>
    <mergeCell ref="F192:F195"/>
    <mergeCell ref="G192:G195"/>
    <mergeCell ref="H199:H202"/>
    <mergeCell ref="A203:A205"/>
    <mergeCell ref="B203:B205"/>
    <mergeCell ref="D203:D205"/>
    <mergeCell ref="E203:E205"/>
    <mergeCell ref="F203:F205"/>
    <mergeCell ref="G203:G205"/>
    <mergeCell ref="H203:H205"/>
    <mergeCell ref="A199:A202"/>
    <mergeCell ref="B199:B202"/>
    <mergeCell ref="D199:D202"/>
    <mergeCell ref="E199:E202"/>
    <mergeCell ref="F199:F202"/>
    <mergeCell ref="G199:G202"/>
    <mergeCell ref="H206:H208"/>
    <mergeCell ref="A209:A211"/>
    <mergeCell ref="B209:B211"/>
    <mergeCell ref="D209:D211"/>
    <mergeCell ref="E209:E211"/>
    <mergeCell ref="F209:F211"/>
    <mergeCell ref="G209:G211"/>
    <mergeCell ref="H209:H211"/>
    <mergeCell ref="A206:A208"/>
    <mergeCell ref="B206:B208"/>
    <mergeCell ref="D206:D208"/>
    <mergeCell ref="E206:E208"/>
    <mergeCell ref="F206:F208"/>
    <mergeCell ref="G206:G208"/>
    <mergeCell ref="H212:H213"/>
    <mergeCell ref="A215:A217"/>
    <mergeCell ref="B215:B217"/>
    <mergeCell ref="D215:D217"/>
    <mergeCell ref="E215:E217"/>
    <mergeCell ref="F215:F217"/>
    <mergeCell ref="G215:G217"/>
    <mergeCell ref="H215:H217"/>
    <mergeCell ref="A212:A213"/>
    <mergeCell ref="B212:B213"/>
    <mergeCell ref="D212:D213"/>
    <mergeCell ref="E212:E213"/>
    <mergeCell ref="F212:F213"/>
    <mergeCell ref="G212:G213"/>
    <mergeCell ref="H218:H221"/>
    <mergeCell ref="A222:A223"/>
    <mergeCell ref="B222:B223"/>
    <mergeCell ref="D222:D223"/>
    <mergeCell ref="E222:E223"/>
    <mergeCell ref="F222:F223"/>
    <mergeCell ref="G222:G223"/>
    <mergeCell ref="H222:H223"/>
    <mergeCell ref="A218:A221"/>
    <mergeCell ref="B218:B221"/>
    <mergeCell ref="D218:D221"/>
    <mergeCell ref="E218:E221"/>
    <mergeCell ref="F218:F221"/>
    <mergeCell ref="G218:G221"/>
    <mergeCell ref="H224:H228"/>
    <mergeCell ref="A229:A232"/>
    <mergeCell ref="B229:B232"/>
    <mergeCell ref="D229:D232"/>
    <mergeCell ref="E229:E232"/>
    <mergeCell ref="F229:F232"/>
    <mergeCell ref="G229:G232"/>
    <mergeCell ref="H229:H232"/>
    <mergeCell ref="A224:A228"/>
    <mergeCell ref="B224:B228"/>
    <mergeCell ref="D224:D228"/>
    <mergeCell ref="E224:E228"/>
    <mergeCell ref="F224:F228"/>
    <mergeCell ref="G224:G228"/>
    <mergeCell ref="H233:H236"/>
    <mergeCell ref="A237:A238"/>
    <mergeCell ref="B237:B238"/>
    <mergeCell ref="D237:D238"/>
    <mergeCell ref="E237:E238"/>
    <mergeCell ref="F237:F238"/>
    <mergeCell ref="G237:G238"/>
    <mergeCell ref="H237:H238"/>
    <mergeCell ref="A233:A236"/>
    <mergeCell ref="B233:B236"/>
    <mergeCell ref="D233:D236"/>
    <mergeCell ref="E233:E236"/>
    <mergeCell ref="F233:F236"/>
    <mergeCell ref="G233:G236"/>
    <mergeCell ref="H239:H240"/>
    <mergeCell ref="A241:A242"/>
    <mergeCell ref="B241:B242"/>
    <mergeCell ref="D241:D242"/>
    <mergeCell ref="E241:E242"/>
    <mergeCell ref="F241:F242"/>
    <mergeCell ref="G241:G242"/>
    <mergeCell ref="H241:H242"/>
    <mergeCell ref="A239:A240"/>
    <mergeCell ref="B239:B240"/>
    <mergeCell ref="D239:D240"/>
    <mergeCell ref="E239:E240"/>
    <mergeCell ref="F239:F240"/>
    <mergeCell ref="G239:G240"/>
    <mergeCell ref="H243:H244"/>
    <mergeCell ref="A245:A247"/>
    <mergeCell ref="B245:B247"/>
    <mergeCell ref="D245:D247"/>
    <mergeCell ref="E245:E247"/>
    <mergeCell ref="F245:F247"/>
    <mergeCell ref="G245:G247"/>
    <mergeCell ref="H245:H247"/>
    <mergeCell ref="A243:A244"/>
    <mergeCell ref="B243:B244"/>
    <mergeCell ref="D243:D244"/>
    <mergeCell ref="E243:E244"/>
    <mergeCell ref="F243:F244"/>
    <mergeCell ref="G243:G244"/>
    <mergeCell ref="H248:H249"/>
    <mergeCell ref="A250:A254"/>
    <mergeCell ref="B250:B254"/>
    <mergeCell ref="D250:D254"/>
    <mergeCell ref="E250:E254"/>
    <mergeCell ref="F250:F254"/>
    <mergeCell ref="G250:G254"/>
    <mergeCell ref="H250:H254"/>
    <mergeCell ref="A248:A249"/>
    <mergeCell ref="B248:B249"/>
    <mergeCell ref="D248:D249"/>
    <mergeCell ref="E248:E249"/>
    <mergeCell ref="F248:F249"/>
    <mergeCell ref="G248:G249"/>
    <mergeCell ref="H255:H256"/>
    <mergeCell ref="A258:A261"/>
    <mergeCell ref="B258:B261"/>
    <mergeCell ref="D258:D261"/>
    <mergeCell ref="E258:E261"/>
    <mergeCell ref="F258:F261"/>
    <mergeCell ref="G258:G261"/>
    <mergeCell ref="H258:H261"/>
    <mergeCell ref="A255:A256"/>
    <mergeCell ref="B255:B256"/>
    <mergeCell ref="D255:D256"/>
    <mergeCell ref="E255:E256"/>
    <mergeCell ref="F255:F256"/>
    <mergeCell ref="G255:G256"/>
    <mergeCell ref="J267:J269"/>
    <mergeCell ref="C270:C272"/>
    <mergeCell ref="D270:D272"/>
    <mergeCell ref="F270:F272"/>
    <mergeCell ref="G270:G272"/>
    <mergeCell ref="H270:H272"/>
    <mergeCell ref="I270:I272"/>
    <mergeCell ref="J270:J272"/>
    <mergeCell ref="C267:C269"/>
    <mergeCell ref="D267:D269"/>
    <mergeCell ref="F267:F269"/>
    <mergeCell ref="G267:G269"/>
    <mergeCell ref="H267:H269"/>
    <mergeCell ref="I267:I269"/>
    <mergeCell ref="J273:J277"/>
    <mergeCell ref="C278:C279"/>
    <mergeCell ref="D278:D279"/>
    <mergeCell ref="F278:F279"/>
    <mergeCell ref="G278:G279"/>
    <mergeCell ref="H278:H279"/>
    <mergeCell ref="I278:I279"/>
    <mergeCell ref="J278:J279"/>
    <mergeCell ref="C273:C277"/>
    <mergeCell ref="D273:D277"/>
    <mergeCell ref="F273:F277"/>
    <mergeCell ref="G273:G277"/>
    <mergeCell ref="H273:H277"/>
    <mergeCell ref="I273:I277"/>
    <mergeCell ref="J280:J282"/>
    <mergeCell ref="C283:C285"/>
    <mergeCell ref="D283:D285"/>
    <mergeCell ref="F283:F285"/>
    <mergeCell ref="G283:G285"/>
    <mergeCell ref="H283:H285"/>
    <mergeCell ref="I283:I285"/>
    <mergeCell ref="J283:J285"/>
    <mergeCell ref="C280:C282"/>
    <mergeCell ref="D280:D282"/>
    <mergeCell ref="F280:F282"/>
    <mergeCell ref="G280:G282"/>
    <mergeCell ref="H280:H282"/>
    <mergeCell ref="I280:I282"/>
    <mergeCell ref="J286:J287"/>
    <mergeCell ref="C288:C289"/>
    <mergeCell ref="D288:D289"/>
    <mergeCell ref="F288:F289"/>
    <mergeCell ref="G288:G289"/>
    <mergeCell ref="H288:H289"/>
    <mergeCell ref="I288:I289"/>
    <mergeCell ref="J288:J289"/>
    <mergeCell ref="C286:C287"/>
    <mergeCell ref="D286:D287"/>
    <mergeCell ref="F286:F287"/>
    <mergeCell ref="G286:G287"/>
    <mergeCell ref="H286:H287"/>
    <mergeCell ref="I286:I287"/>
    <mergeCell ref="J290:J294"/>
    <mergeCell ref="C295:C298"/>
    <mergeCell ref="D295:D298"/>
    <mergeCell ref="F295:F298"/>
    <mergeCell ref="G295:G298"/>
    <mergeCell ref="H295:H298"/>
    <mergeCell ref="I295:I298"/>
    <mergeCell ref="J295:J298"/>
    <mergeCell ref="C290:C294"/>
    <mergeCell ref="D290:D294"/>
    <mergeCell ref="F290:F294"/>
    <mergeCell ref="G290:G294"/>
    <mergeCell ref="H290:H294"/>
    <mergeCell ref="I290:I294"/>
    <mergeCell ref="J299:J302"/>
    <mergeCell ref="C303:C306"/>
    <mergeCell ref="D303:D306"/>
    <mergeCell ref="F303:F306"/>
    <mergeCell ref="G303:G306"/>
    <mergeCell ref="H303:H306"/>
    <mergeCell ref="I303:I306"/>
    <mergeCell ref="J303:J306"/>
    <mergeCell ref="C299:C302"/>
    <mergeCell ref="D299:D302"/>
    <mergeCell ref="F299:F302"/>
    <mergeCell ref="G299:G302"/>
    <mergeCell ref="H299:H302"/>
    <mergeCell ref="I299:I302"/>
    <mergeCell ref="J307:J310"/>
    <mergeCell ref="C311:C315"/>
    <mergeCell ref="D311:D315"/>
    <mergeCell ref="F311:F315"/>
    <mergeCell ref="G311:G315"/>
    <mergeCell ref="H311:H315"/>
    <mergeCell ref="I311:I315"/>
    <mergeCell ref="J311:J315"/>
    <mergeCell ref="C307:C310"/>
    <mergeCell ref="D307:D310"/>
    <mergeCell ref="F307:F310"/>
    <mergeCell ref="G307:G310"/>
    <mergeCell ref="H307:H310"/>
    <mergeCell ref="I307:I310"/>
    <mergeCell ref="J316:J319"/>
    <mergeCell ref="C320:C323"/>
    <mergeCell ref="D320:D323"/>
    <mergeCell ref="F320:F323"/>
    <mergeCell ref="G320:G323"/>
    <mergeCell ref="H320:H323"/>
    <mergeCell ref="I320:I323"/>
    <mergeCell ref="J320:J323"/>
    <mergeCell ref="C316:C319"/>
    <mergeCell ref="D316:D319"/>
    <mergeCell ref="F316:F319"/>
    <mergeCell ref="G316:G319"/>
    <mergeCell ref="H316:H319"/>
    <mergeCell ref="I316:I319"/>
    <mergeCell ref="J324:J327"/>
    <mergeCell ref="C328:C332"/>
    <mergeCell ref="D328:D332"/>
    <mergeCell ref="F328:F332"/>
    <mergeCell ref="G328:G332"/>
    <mergeCell ref="H328:H332"/>
    <mergeCell ref="I328:I332"/>
    <mergeCell ref="J328:J332"/>
    <mergeCell ref="C324:C327"/>
    <mergeCell ref="D324:D327"/>
    <mergeCell ref="F324:F327"/>
    <mergeCell ref="G324:G327"/>
    <mergeCell ref="H324:H327"/>
    <mergeCell ref="I324:I327"/>
    <mergeCell ref="J333:J338"/>
    <mergeCell ref="C339:C343"/>
    <mergeCell ref="D339:D343"/>
    <mergeCell ref="F339:F343"/>
    <mergeCell ref="G339:G343"/>
    <mergeCell ref="H339:H343"/>
    <mergeCell ref="I339:I343"/>
    <mergeCell ref="J339:J343"/>
    <mergeCell ref="C333:C338"/>
    <mergeCell ref="D333:D338"/>
    <mergeCell ref="F333:F338"/>
    <mergeCell ref="G333:G338"/>
    <mergeCell ref="H333:H338"/>
    <mergeCell ref="I333:I338"/>
    <mergeCell ref="J344:J348"/>
    <mergeCell ref="C349:C353"/>
    <mergeCell ref="D349:D353"/>
    <mergeCell ref="F349:F353"/>
    <mergeCell ref="G349:G353"/>
    <mergeCell ref="H349:H353"/>
    <mergeCell ref="I349:I353"/>
    <mergeCell ref="J349:J353"/>
    <mergeCell ref="C344:C348"/>
    <mergeCell ref="D344:D348"/>
    <mergeCell ref="F344:F348"/>
    <mergeCell ref="G344:G348"/>
    <mergeCell ref="H344:H348"/>
    <mergeCell ref="I344:I348"/>
    <mergeCell ref="J354:J358"/>
    <mergeCell ref="C359:C364"/>
    <mergeCell ref="D359:D364"/>
    <mergeCell ref="F359:F364"/>
    <mergeCell ref="G359:G364"/>
    <mergeCell ref="H359:H364"/>
    <mergeCell ref="I359:I364"/>
    <mergeCell ref="J359:J364"/>
    <mergeCell ref="C354:C358"/>
    <mergeCell ref="D354:D358"/>
    <mergeCell ref="F354:F358"/>
    <mergeCell ref="G354:G358"/>
    <mergeCell ref="H354:H358"/>
    <mergeCell ref="I354:I358"/>
    <mergeCell ref="J365:J370"/>
    <mergeCell ref="C371:C376"/>
    <mergeCell ref="D371:D376"/>
    <mergeCell ref="F371:F376"/>
    <mergeCell ref="G371:G376"/>
    <mergeCell ref="H371:H376"/>
    <mergeCell ref="I371:I376"/>
    <mergeCell ref="J371:J376"/>
    <mergeCell ref="C365:C370"/>
    <mergeCell ref="D365:D370"/>
    <mergeCell ref="F365:F370"/>
    <mergeCell ref="G365:G370"/>
    <mergeCell ref="H365:H370"/>
    <mergeCell ref="I365:I370"/>
    <mergeCell ref="J377:J381"/>
    <mergeCell ref="C382:C384"/>
    <mergeCell ref="D382:D384"/>
    <mergeCell ref="F382:F384"/>
    <mergeCell ref="G382:G384"/>
    <mergeCell ref="H382:H384"/>
    <mergeCell ref="I382:I384"/>
    <mergeCell ref="J382:J384"/>
    <mergeCell ref="C377:C381"/>
    <mergeCell ref="D377:D381"/>
    <mergeCell ref="F377:F381"/>
    <mergeCell ref="G377:G381"/>
    <mergeCell ref="H377:H381"/>
    <mergeCell ref="I377:I381"/>
    <mergeCell ref="J385:J387"/>
    <mergeCell ref="C388:C391"/>
    <mergeCell ref="D388:D391"/>
    <mergeCell ref="F388:F391"/>
    <mergeCell ref="G388:G391"/>
    <mergeCell ref="H388:H391"/>
    <mergeCell ref="I388:I391"/>
    <mergeCell ref="J388:J391"/>
    <mergeCell ref="C385:C387"/>
    <mergeCell ref="D385:D387"/>
    <mergeCell ref="F385:F387"/>
    <mergeCell ref="G385:G387"/>
    <mergeCell ref="H385:H387"/>
    <mergeCell ref="I385:I387"/>
    <mergeCell ref="J393:J397"/>
    <mergeCell ref="C398:C400"/>
    <mergeCell ref="D398:D400"/>
    <mergeCell ref="F398:F400"/>
    <mergeCell ref="G398:G400"/>
    <mergeCell ref="H398:H400"/>
    <mergeCell ref="I398:I400"/>
    <mergeCell ref="J398:J400"/>
    <mergeCell ref="C393:C397"/>
    <mergeCell ref="D393:D397"/>
    <mergeCell ref="F393:F397"/>
    <mergeCell ref="G393:G397"/>
    <mergeCell ref="H393:H397"/>
    <mergeCell ref="I393:I397"/>
    <mergeCell ref="J401:J404"/>
    <mergeCell ref="C405:C409"/>
    <mergeCell ref="D405:D409"/>
    <mergeCell ref="F405:F409"/>
    <mergeCell ref="G405:G409"/>
    <mergeCell ref="H405:H409"/>
    <mergeCell ref="I405:I409"/>
    <mergeCell ref="J405:J409"/>
    <mergeCell ref="C401:C404"/>
    <mergeCell ref="D401:D404"/>
    <mergeCell ref="F401:F404"/>
    <mergeCell ref="G401:G404"/>
    <mergeCell ref="H401:H404"/>
    <mergeCell ref="I401:I404"/>
    <mergeCell ref="J410:J414"/>
    <mergeCell ref="C415:C419"/>
    <mergeCell ref="D415:D419"/>
    <mergeCell ref="F415:F419"/>
    <mergeCell ref="G415:G419"/>
    <mergeCell ref="H415:H419"/>
    <mergeCell ref="I415:I419"/>
    <mergeCell ref="J415:J419"/>
    <mergeCell ref="C410:C414"/>
    <mergeCell ref="D410:D414"/>
    <mergeCell ref="F410:F414"/>
    <mergeCell ref="G410:G414"/>
    <mergeCell ref="H410:H414"/>
    <mergeCell ref="I410:I414"/>
    <mergeCell ref="J420:J424"/>
    <mergeCell ref="C425:C429"/>
    <mergeCell ref="D425:D429"/>
    <mergeCell ref="F425:F429"/>
    <mergeCell ref="G425:G429"/>
    <mergeCell ref="H425:H429"/>
    <mergeCell ref="I425:I429"/>
    <mergeCell ref="J425:J429"/>
    <mergeCell ref="C420:C424"/>
    <mergeCell ref="D420:D424"/>
    <mergeCell ref="F420:F424"/>
    <mergeCell ref="G420:G424"/>
    <mergeCell ref="H420:H424"/>
    <mergeCell ref="I420:I424"/>
    <mergeCell ref="J430:J433"/>
    <mergeCell ref="C434:C437"/>
    <mergeCell ref="D434:D437"/>
    <mergeCell ref="F434:F437"/>
    <mergeCell ref="G434:G437"/>
    <mergeCell ref="H434:H437"/>
    <mergeCell ref="I434:I437"/>
    <mergeCell ref="J434:J437"/>
    <mergeCell ref="C430:C433"/>
    <mergeCell ref="D430:D433"/>
    <mergeCell ref="F430:F433"/>
    <mergeCell ref="G430:G433"/>
    <mergeCell ref="H430:H433"/>
    <mergeCell ref="I430:I433"/>
    <mergeCell ref="J438:J441"/>
    <mergeCell ref="C443:C445"/>
    <mergeCell ref="D443:D445"/>
    <mergeCell ref="F443:F445"/>
    <mergeCell ref="G443:G445"/>
    <mergeCell ref="H443:H445"/>
    <mergeCell ref="I443:I445"/>
    <mergeCell ref="J443:J445"/>
    <mergeCell ref="C438:C441"/>
    <mergeCell ref="D438:D441"/>
    <mergeCell ref="F438:F441"/>
    <mergeCell ref="G438:G441"/>
    <mergeCell ref="H438:H441"/>
    <mergeCell ref="I438:I441"/>
    <mergeCell ref="J447:J451"/>
    <mergeCell ref="C452:C456"/>
    <mergeCell ref="D452:D456"/>
    <mergeCell ref="F452:F456"/>
    <mergeCell ref="G452:G456"/>
    <mergeCell ref="H452:H456"/>
    <mergeCell ref="I452:I456"/>
    <mergeCell ref="J452:J456"/>
    <mergeCell ref="C447:C451"/>
    <mergeCell ref="D447:D451"/>
    <mergeCell ref="F447:F451"/>
    <mergeCell ref="G447:G451"/>
    <mergeCell ref="H447:H451"/>
    <mergeCell ref="I447:I451"/>
    <mergeCell ref="J457:J461"/>
    <mergeCell ref="C462:C465"/>
    <mergeCell ref="D462:D465"/>
    <mergeCell ref="F462:F465"/>
    <mergeCell ref="G462:G465"/>
    <mergeCell ref="H462:H465"/>
    <mergeCell ref="I462:I465"/>
    <mergeCell ref="J462:J465"/>
    <mergeCell ref="C457:C461"/>
    <mergeCell ref="D457:D461"/>
    <mergeCell ref="F457:F461"/>
    <mergeCell ref="G457:G461"/>
    <mergeCell ref="H457:H461"/>
    <mergeCell ref="I457:I461"/>
    <mergeCell ref="J466:J469"/>
    <mergeCell ref="C470:C473"/>
    <mergeCell ref="D470:D473"/>
    <mergeCell ref="F470:F473"/>
    <mergeCell ref="G470:G473"/>
    <mergeCell ref="H470:H473"/>
    <mergeCell ref="I470:I473"/>
    <mergeCell ref="J470:J473"/>
    <mergeCell ref="C466:C469"/>
    <mergeCell ref="D466:D469"/>
    <mergeCell ref="F466:F469"/>
    <mergeCell ref="G466:G469"/>
    <mergeCell ref="H466:H469"/>
    <mergeCell ref="I466:I469"/>
    <mergeCell ref="J474:J477"/>
    <mergeCell ref="C478:C482"/>
    <mergeCell ref="D478:D482"/>
    <mergeCell ref="F478:F482"/>
    <mergeCell ref="G478:G482"/>
    <mergeCell ref="H478:H482"/>
    <mergeCell ref="I478:I482"/>
    <mergeCell ref="J478:J482"/>
    <mergeCell ref="C474:C477"/>
    <mergeCell ref="D474:D477"/>
    <mergeCell ref="F474:F477"/>
    <mergeCell ref="G474:G477"/>
    <mergeCell ref="H474:H477"/>
    <mergeCell ref="I474:I477"/>
    <mergeCell ref="J483:J487"/>
    <mergeCell ref="C488:C492"/>
    <mergeCell ref="D488:D492"/>
    <mergeCell ref="F488:F492"/>
    <mergeCell ref="G488:G492"/>
    <mergeCell ref="H488:H492"/>
    <mergeCell ref="I488:I492"/>
    <mergeCell ref="J488:J492"/>
    <mergeCell ref="C483:C487"/>
    <mergeCell ref="D483:D487"/>
    <mergeCell ref="F483:F487"/>
    <mergeCell ref="G483:G487"/>
    <mergeCell ref="H483:H487"/>
    <mergeCell ref="I483:I487"/>
    <mergeCell ref="J493:J496"/>
    <mergeCell ref="C497:C500"/>
    <mergeCell ref="D497:D500"/>
    <mergeCell ref="F497:F500"/>
    <mergeCell ref="G497:G500"/>
    <mergeCell ref="H497:H500"/>
    <mergeCell ref="I497:I500"/>
    <mergeCell ref="J497:J500"/>
    <mergeCell ref="C493:C496"/>
    <mergeCell ref="D493:D496"/>
    <mergeCell ref="F493:F496"/>
    <mergeCell ref="G493:G496"/>
    <mergeCell ref="H493:H496"/>
    <mergeCell ref="I493:I496"/>
    <mergeCell ref="J501:J505"/>
    <mergeCell ref="C506:C510"/>
    <mergeCell ref="D506:D510"/>
    <mergeCell ref="F506:F510"/>
    <mergeCell ref="G506:G510"/>
    <mergeCell ref="H506:H510"/>
    <mergeCell ref="I506:I510"/>
    <mergeCell ref="J506:J510"/>
    <mergeCell ref="C501:C505"/>
    <mergeCell ref="D501:D505"/>
    <mergeCell ref="F501:F505"/>
    <mergeCell ref="G501:G505"/>
    <mergeCell ref="H501:H505"/>
    <mergeCell ref="I501:I505"/>
    <mergeCell ref="J511:J514"/>
    <mergeCell ref="C515:C518"/>
    <mergeCell ref="D515:D518"/>
    <mergeCell ref="F515:F518"/>
    <mergeCell ref="G515:G518"/>
    <mergeCell ref="H515:H518"/>
    <mergeCell ref="I515:I518"/>
    <mergeCell ref="J515:J518"/>
    <mergeCell ref="C511:C514"/>
    <mergeCell ref="D511:D514"/>
    <mergeCell ref="F511:F514"/>
    <mergeCell ref="G511:G514"/>
    <mergeCell ref="H511:H514"/>
    <mergeCell ref="I511:I514"/>
    <mergeCell ref="J519:J522"/>
    <mergeCell ref="C524:C530"/>
    <mergeCell ref="D524:D530"/>
    <mergeCell ref="F524:F530"/>
    <mergeCell ref="G524:G530"/>
    <mergeCell ref="H524:H530"/>
    <mergeCell ref="I524:I530"/>
    <mergeCell ref="J524:J530"/>
    <mergeCell ref="C519:C522"/>
    <mergeCell ref="D519:D522"/>
    <mergeCell ref="F519:F522"/>
    <mergeCell ref="G519:G522"/>
    <mergeCell ref="H519:H522"/>
    <mergeCell ref="I519:I522"/>
    <mergeCell ref="C543:H543"/>
    <mergeCell ref="J531:J537"/>
    <mergeCell ref="C538:C540"/>
    <mergeCell ref="D538:D540"/>
    <mergeCell ref="F538:F540"/>
    <mergeCell ref="G538:G540"/>
    <mergeCell ref="H538:H540"/>
    <mergeCell ref="I538:I540"/>
    <mergeCell ref="J538:J540"/>
    <mergeCell ref="C531:C537"/>
    <mergeCell ref="D531:D537"/>
    <mergeCell ref="F531:F537"/>
    <mergeCell ref="G531:G537"/>
    <mergeCell ref="H531:H537"/>
    <mergeCell ref="I531:I537"/>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W36"/>
  <sheetViews>
    <sheetView tabSelected="1" topLeftCell="D1" workbookViewId="0">
      <selection activeCell="W26" sqref="W26"/>
    </sheetView>
  </sheetViews>
  <sheetFormatPr defaultRowHeight="14.25"/>
  <cols>
    <col min="2" max="2" width="12.5" customWidth="1"/>
    <col min="3" max="3" width="14.5" customWidth="1"/>
    <col min="4" max="4" width="17.875" customWidth="1"/>
    <col min="5" max="5" width="15.5" customWidth="1"/>
    <col min="6" max="6" width="18.625" customWidth="1"/>
    <col min="7" max="7" width="17.875" customWidth="1"/>
    <col min="8" max="8" width="18.5" customWidth="1"/>
  </cols>
  <sheetData>
    <row r="1" spans="1:23">
      <c r="B1" t="s">
        <v>503</v>
      </c>
      <c r="C1" t="s">
        <v>504</v>
      </c>
      <c r="D1" t="s">
        <v>505</v>
      </c>
      <c r="E1" t="s">
        <v>506</v>
      </c>
      <c r="F1" t="s">
        <v>507</v>
      </c>
      <c r="G1" t="s">
        <v>508</v>
      </c>
      <c r="H1" t="s">
        <v>509</v>
      </c>
      <c r="J1" t="s">
        <v>524</v>
      </c>
      <c r="L1" t="s">
        <v>525</v>
      </c>
      <c r="N1" t="s">
        <v>526</v>
      </c>
      <c r="O1" t="s">
        <v>534</v>
      </c>
      <c r="S1" t="s">
        <v>534</v>
      </c>
      <c r="W1" t="s">
        <v>534</v>
      </c>
    </row>
    <row r="2" spans="1:23">
      <c r="A2" t="s">
        <v>510</v>
      </c>
      <c r="B2">
        <v>159135</v>
      </c>
      <c r="C2">
        <v>130000</v>
      </c>
      <c r="D2">
        <v>97000</v>
      </c>
      <c r="E2">
        <f>29*70000</f>
        <v>2030000</v>
      </c>
      <c r="F2">
        <v>18741</v>
      </c>
      <c r="G2">
        <v>250000</v>
      </c>
      <c r="H2">
        <v>162338.69</v>
      </c>
      <c r="J2">
        <f>SUM(B2:I2)</f>
        <v>2847214.69</v>
      </c>
      <c r="P2" t="s">
        <v>527</v>
      </c>
      <c r="Q2" t="s">
        <v>528</v>
      </c>
      <c r="U2" t="s">
        <v>530</v>
      </c>
    </row>
    <row r="3" spans="1:23">
      <c r="A3" t="s">
        <v>515</v>
      </c>
      <c r="B3">
        <v>0.110307349106105</v>
      </c>
      <c r="C3">
        <v>3.2873915384615385E-2</v>
      </c>
      <c r="D3">
        <v>7.5929999999999997E-2</v>
      </c>
      <c r="E3">
        <v>7.2660000000000002E-2</v>
      </c>
      <c r="F3">
        <v>4.5879999999999997E-2</v>
      </c>
      <c r="G3">
        <v>0.06</v>
      </c>
      <c r="H3">
        <v>4.3743232127843333E-2</v>
      </c>
      <c r="J3">
        <f>(B3*$B$2+C3*$C$2+D3*$D$2+E3*$E$2+F3*$F$2+G3*$G$2+H3*$H$2)/$J$2</f>
        <v>7.0122367583036055E-2</v>
      </c>
      <c r="L3">
        <f>J3*([1]总体用地情况!$C$4+[1]总体用地情况!$C$5)</f>
        <v>6806.2873647122287</v>
      </c>
      <c r="N3">
        <f>L3*[2]分部分项工程计价表!$M$27</f>
        <v>2981.7899269638542</v>
      </c>
      <c r="O3">
        <f>L3*[3]建筑材料碳排放因子!$C$3*0.9+0.1*L3*[3]建筑材料碳排放因子!$C$4</f>
        <v>15943.728151838393</v>
      </c>
      <c r="P3">
        <f>L3*0.1</f>
        <v>680.62873647122296</v>
      </c>
      <c r="Q3" t="s">
        <v>17</v>
      </c>
      <c r="R3">
        <f>$L$4*Sheet3!H15</f>
        <v>5353.215493126213</v>
      </c>
      <c r="S3">
        <f>R3*[3]建筑材料碳排放因子!D9</f>
        <v>1075.9963141183689</v>
      </c>
      <c r="U3" t="s">
        <v>25</v>
      </c>
      <c r="V3">
        <f>$L$5*Sheet2!H20</f>
        <v>21.809756494222704</v>
      </c>
      <c r="W3">
        <f>V3/2*[3]建筑材料碳排放因子!D15</f>
        <v>7.9605611203912865</v>
      </c>
    </row>
    <row r="4" spans="1:23">
      <c r="A4" t="s">
        <v>518</v>
      </c>
      <c r="B4">
        <v>0.64437189643466519</v>
      </c>
      <c r="C4">
        <v>0.4697775117056856</v>
      </c>
      <c r="D4">
        <v>0.63228823024054981</v>
      </c>
      <c r="E4">
        <v>0.32</v>
      </c>
      <c r="F4">
        <v>0.45519492022837627</v>
      </c>
      <c r="G4">
        <v>0.78</v>
      </c>
      <c r="H4">
        <v>0.73217924725153327</v>
      </c>
      <c r="J4">
        <f t="shared" ref="J4:J13" si="0">(B4*$B$2+C4*$C$2+D4*$D$2+E4*$E$2+F4*$F$2+G4*$G$2+H4*$H$2)/$J$2</f>
        <v>0.42038873592570669</v>
      </c>
      <c r="L4">
        <f>J4*([1]总体用地情况!$C$4+[1]总体用地情况!$C$5)</f>
        <v>40804.191875156866</v>
      </c>
      <c r="N4">
        <f>[2]分部分项工程计价表!$L$27*L4</f>
        <v>17026.309361057127</v>
      </c>
      <c r="Q4" t="s">
        <v>18</v>
      </c>
      <c r="R4">
        <f>$L$4*Sheet3!H16</f>
        <v>313.08394468771854</v>
      </c>
      <c r="S4">
        <f>R4*[3]建筑材料碳排放因子!D10</f>
        <v>78.584070116617355</v>
      </c>
      <c r="U4" t="s">
        <v>26</v>
      </c>
      <c r="V4">
        <f>$L$5*Sheet2!H21</f>
        <v>492.42106899100867</v>
      </c>
      <c r="W4">
        <f>V4/2*[3]建筑材料碳排放因子!D16</f>
        <v>130.98400435160832</v>
      </c>
    </row>
    <row r="5" spans="1:23">
      <c r="A5" t="s">
        <v>514</v>
      </c>
      <c r="B5">
        <v>0.16408709586200396</v>
      </c>
      <c r="C5">
        <v>0.55325498461538458</v>
      </c>
      <c r="D5">
        <v>0.10077999999999999</v>
      </c>
      <c r="E5">
        <v>6.7589999999999997E-2</v>
      </c>
      <c r="F5">
        <v>0.11079244437329917</v>
      </c>
      <c r="G5">
        <v>0.122</v>
      </c>
      <c r="H5" s="27">
        <v>6.5354944850177094E-2</v>
      </c>
      <c r="J5">
        <f t="shared" si="0"/>
        <v>0.10122331355771418</v>
      </c>
      <c r="L5">
        <f>J5*([1]总体用地情况!$C$4+[1]总体用地情况!$C$5)</f>
        <v>9825.0384838524114</v>
      </c>
      <c r="Q5" t="s">
        <v>19</v>
      </c>
      <c r="R5">
        <f>$L$4*Sheet3!H17</f>
        <v>28344.94155191051</v>
      </c>
      <c r="S5">
        <f>R5*[3]建筑材料碳排放因子!D11</f>
        <v>8361.7577578136006</v>
      </c>
      <c r="U5" t="s">
        <v>27</v>
      </c>
      <c r="V5">
        <f>$L$5*Sheet2!H22</f>
        <v>733.58979802546708</v>
      </c>
      <c r="W5">
        <f>V5/2*[3]建筑材料碳排放因子!D17</f>
        <v>144.51719021101701</v>
      </c>
    </row>
    <row r="6" spans="1:23">
      <c r="A6" t="s">
        <v>513</v>
      </c>
      <c r="B6">
        <v>2.1944198322179278E-2</v>
      </c>
      <c r="C6">
        <v>7.6494692307692309E-3</v>
      </c>
      <c r="D6">
        <v>3.8659793814432987E-5</v>
      </c>
      <c r="E6">
        <v>1E-3</v>
      </c>
      <c r="F6">
        <v>9.8000000000000004E-2</v>
      </c>
      <c r="G6">
        <v>0.15</v>
      </c>
      <c r="H6">
        <v>0.184308497253489</v>
      </c>
      <c r="J6">
        <f t="shared" si="0"/>
        <v>2.6614532885821825E-2</v>
      </c>
      <c r="L6">
        <f>J6*([1]总体用地情况!$C$4+[1]总体用地情况!$C$5)</f>
        <v>2583.2864054965239</v>
      </c>
      <c r="O6">
        <f>L6*[3]建筑材料碳排放因子!$D$28/0.5</f>
        <v>51.665728109930477</v>
      </c>
      <c r="Q6" t="s">
        <v>20</v>
      </c>
      <c r="R6">
        <f>$L$4*Sheet3!H18</f>
        <v>1292.9065809404838</v>
      </c>
      <c r="S6">
        <f>R6*[3]建筑材料碳排放因子!D12</f>
        <v>505.52647314772918</v>
      </c>
      <c r="U6" t="s">
        <v>46</v>
      </c>
      <c r="V6">
        <f>$L$5*Sheet2!H23</f>
        <v>787.12011701814879</v>
      </c>
      <c r="W6">
        <f>V6/2*[3]建筑材料碳排放因子!D18</f>
        <v>25.581403803089838</v>
      </c>
    </row>
    <row r="7" spans="1:23">
      <c r="A7" t="s">
        <v>512</v>
      </c>
      <c r="B7">
        <v>8.6853866214220629E-2</v>
      </c>
      <c r="C7">
        <f>0.10179/0.7</f>
        <v>0.14541428571428572</v>
      </c>
      <c r="E7">
        <v>0.03</v>
      </c>
      <c r="F7">
        <v>0.25377087668747667</v>
      </c>
      <c r="G7">
        <v>8.0313999999999997E-2</v>
      </c>
      <c r="H7">
        <v>0.11913581414264214</v>
      </c>
      <c r="J7">
        <f t="shared" si="0"/>
        <v>4.8398218661500778E-2</v>
      </c>
      <c r="L7">
        <f>J7*([1]总体用地情况!$C$4+[1]总体用地情况!$C$5)</f>
        <v>4697.6762979412497</v>
      </c>
      <c r="O7">
        <f>L7*[3]建筑材料碳排放因子!$D$25</f>
        <v>685.86073949942238</v>
      </c>
      <c r="Q7" t="s">
        <v>21</v>
      </c>
      <c r="R7">
        <f>$L$4*Sheet3!H19</f>
        <v>5201.391685718444</v>
      </c>
      <c r="S7">
        <f>R7*[3]建筑材料碳排放因子!D13</f>
        <v>2002.5357990016009</v>
      </c>
      <c r="U7" t="s">
        <v>28</v>
      </c>
      <c r="V7">
        <f>$L$5*Sheet2!H24</f>
        <v>46.552142218903221</v>
      </c>
      <c r="W7">
        <f>V7/2*[3]建筑材料碳排放因子!D19</f>
        <v>6.0983306306763225</v>
      </c>
    </row>
    <row r="8" spans="1:23">
      <c r="A8" t="s">
        <v>516</v>
      </c>
      <c r="B8">
        <v>11.773443931253338</v>
      </c>
      <c r="C8">
        <v>9.1956369230769237</v>
      </c>
      <c r="E8">
        <v>53.8</v>
      </c>
      <c r="F8">
        <f>0.0115602155701403*512</f>
        <v>5.9188303719118336</v>
      </c>
      <c r="G8">
        <v>3.3210000000000002</v>
      </c>
      <c r="H8">
        <v>0.74850000000000005</v>
      </c>
      <c r="J8">
        <f t="shared" si="0"/>
        <v>39.809321547671907</v>
      </c>
      <c r="L8">
        <f>J8*[1]总体用地情况!$C$4</f>
        <v>2595129.8623711839</v>
      </c>
      <c r="O8">
        <f>L8/529*[3]建筑材料碳排放因子!$D$23</f>
        <v>1226.4318820279698</v>
      </c>
      <c r="Q8" t="s">
        <v>22</v>
      </c>
      <c r="R8">
        <f>$L$4*Sheet3!H20</f>
        <v>298.65261877350298</v>
      </c>
      <c r="S8">
        <f>R8*[3]建筑材料碳排放因子!D14</f>
        <v>175.90639245759326</v>
      </c>
      <c r="U8" t="s">
        <v>29</v>
      </c>
      <c r="V8">
        <f>$L$5*Sheet2!H25</f>
        <v>139.36067752852159</v>
      </c>
      <c r="W8">
        <f>V8/2*[3]建筑材料碳排放因子!D20</f>
        <v>15.887117238251461</v>
      </c>
    </row>
    <row r="9" spans="1:23">
      <c r="A9" t="s">
        <v>517</v>
      </c>
      <c r="B9">
        <v>6.456530618657115E-2</v>
      </c>
      <c r="J9">
        <f t="shared" si="0"/>
        <v>3.6086495465503516E-3</v>
      </c>
      <c r="L9">
        <f>J9*([1]总体用地情况!$C$4+[1]总体用地情况!$C$5)</f>
        <v>350.26635093681676</v>
      </c>
      <c r="O9">
        <f>L9*0.0021</f>
        <v>0.73555933696731512</v>
      </c>
      <c r="S9">
        <f>SUM(S3:S8)</f>
        <v>12200.30680665551</v>
      </c>
      <c r="U9" t="s">
        <v>31</v>
      </c>
      <c r="V9">
        <f>$L$5*Sheet2!H26</f>
        <v>2.9095430398509881</v>
      </c>
      <c r="W9">
        <f>V9/2*[3]建筑材料碳排放因子!D21</f>
        <v>0.37533105214077744</v>
      </c>
    </row>
    <row r="10" spans="1:23">
      <c r="A10" t="s">
        <v>520</v>
      </c>
      <c r="C10">
        <v>1.0424692307692306E-3</v>
      </c>
      <c r="D10">
        <v>4.9920618556701032E-3</v>
      </c>
      <c r="J10">
        <f t="shared" si="0"/>
        <v>2.1766921973839632E-4</v>
      </c>
      <c r="L10">
        <f>J10*([1]总体用地情况!$C$4+[1]总体用地情况!$C$5)</f>
        <v>21.12762747546796</v>
      </c>
      <c r="O10">
        <f>L10*2.28</f>
        <v>48.170990644066947</v>
      </c>
      <c r="U10" t="s">
        <v>32</v>
      </c>
      <c r="V10">
        <f>$L$5*Sheet2!H27</f>
        <v>7601.2753805362881</v>
      </c>
      <c r="W10">
        <f>V10/2*[3]建筑材料碳排放因子!D22</f>
        <v>1349.226380045191</v>
      </c>
    </row>
    <row r="11" spans="1:23">
      <c r="A11" t="s">
        <v>519</v>
      </c>
      <c r="C11">
        <v>5.9992307692307693E-5</v>
      </c>
      <c r="D11">
        <v>4.5298969072164947E-4</v>
      </c>
      <c r="J11">
        <f t="shared" si="0"/>
        <v>1.8171794414280716E-5</v>
      </c>
      <c r="L11">
        <f>J11*([1]总体用地情况!$C$4+[1]总体用地情况!$C$5)</f>
        <v>1.763808881233329</v>
      </c>
      <c r="O11">
        <f>L11*[3]建筑材料碳排放因子!$D$31</f>
        <v>5.6441884199466531E-2</v>
      </c>
      <c r="W11">
        <f>SUM(W3:W10)</f>
        <v>1680.6303184523661</v>
      </c>
    </row>
    <row r="12" spans="1:23">
      <c r="A12" t="s">
        <v>522</v>
      </c>
      <c r="B12">
        <v>2.8830866874037767E-4</v>
      </c>
      <c r="C12">
        <v>1.1368461538461538E-4</v>
      </c>
      <c r="D12">
        <v>6.5463917525773194E-3</v>
      </c>
      <c r="E12">
        <v>7.7200000000000005E-2</v>
      </c>
      <c r="F12">
        <v>0.16814810308948297</v>
      </c>
      <c r="G12">
        <v>5.7331600000000003E-2</v>
      </c>
      <c r="H12">
        <v>2.0799999999999999E-2</v>
      </c>
      <c r="J12">
        <f t="shared" si="0"/>
        <v>6.2612934661418179E-2</v>
      </c>
      <c r="L12">
        <f>J12*([1]总体用地情况!$C$4+[1]总体用地情况!$C$5)</f>
        <v>6077.3992770412324</v>
      </c>
    </row>
    <row r="13" spans="1:23">
      <c r="A13" t="s">
        <v>521</v>
      </c>
      <c r="E13">
        <v>0.21</v>
      </c>
      <c r="F13">
        <v>11.566218451523399</v>
      </c>
      <c r="H13">
        <v>0.34313687020635686</v>
      </c>
      <c r="J13">
        <f t="shared" si="0"/>
        <v>0.24542121549674922</v>
      </c>
      <c r="L13">
        <f>J13*([1]总体用地情况!$C$4+[1]总体用地情况!$C$5)</f>
        <v>23821.31943976097</v>
      </c>
      <c r="O13">
        <f>L13*0.7*[3]建筑材料碳排放因子!$D$29/1000</f>
        <v>18.842663676850925</v>
      </c>
    </row>
    <row r="14" spans="1:23">
      <c r="A14" t="s">
        <v>523</v>
      </c>
      <c r="G14">
        <v>1</v>
      </c>
      <c r="J14">
        <v>1</v>
      </c>
      <c r="L14">
        <f>J14*([1]总体用地情况!$C$4+[1]总体用地情况!$C$5)</f>
        <v>97063</v>
      </c>
      <c r="O14">
        <f>L14*0.003*[3]建筑材料碳排放因子!$D$35/1000</f>
        <v>1.0482804000000001</v>
      </c>
    </row>
    <row r="15" spans="1:23">
      <c r="A15" t="s">
        <v>536</v>
      </c>
      <c r="J15">
        <v>2.8339175257731961E-4</v>
      </c>
      <c r="L15">
        <f>J15*([1]总体用地情况!$C$4+[1]总体用地情况!$C$5)</f>
        <v>27.506853680412373</v>
      </c>
      <c r="O15">
        <f>L15*[3]建筑材料碳排放因子!$D$30</f>
        <v>32.73315587969072</v>
      </c>
    </row>
    <row r="16" spans="1:23">
      <c r="O16">
        <f>SUM(O3:O15)+S9+W11</f>
        <v>31890.210718405371</v>
      </c>
    </row>
    <row r="17" spans="1:23">
      <c r="A17" t="s">
        <v>475</v>
      </c>
      <c r="B17">
        <v>15028.282501284602</v>
      </c>
      <c r="M17" t="s">
        <v>542</v>
      </c>
      <c r="N17" t="s">
        <v>543</v>
      </c>
      <c r="O17" t="s">
        <v>545</v>
      </c>
      <c r="P17" t="s">
        <v>544</v>
      </c>
      <c r="Q17" t="s">
        <v>546</v>
      </c>
      <c r="T17" t="s">
        <v>547</v>
      </c>
    </row>
    <row r="18" spans="1:23">
      <c r="A18" t="s">
        <v>133</v>
      </c>
      <c r="B18">
        <v>12200.30680665551</v>
      </c>
      <c r="L18" t="s">
        <v>541</v>
      </c>
      <c r="T18">
        <f>L3*0.9*1.755+0.1*L3*1.081</f>
        <v>11486.290556688356</v>
      </c>
      <c r="U18">
        <f>O3-T18</f>
        <v>4457.4375951500369</v>
      </c>
    </row>
    <row r="19" spans="1:23">
      <c r="A19" t="s">
        <v>535</v>
      </c>
      <c r="B19">
        <v>1661.6971429312168</v>
      </c>
      <c r="L19">
        <v>0.8</v>
      </c>
      <c r="M19">
        <f>$O$3*L19</f>
        <v>12754.982521470716</v>
      </c>
      <c r="N19">
        <f>$S$9*L19</f>
        <v>9760.2454453244081</v>
      </c>
      <c r="O19">
        <f>$W$11*L19</f>
        <v>1344.504254761893</v>
      </c>
      <c r="P19">
        <f>$O$7*L19</f>
        <v>548.68859159953797</v>
      </c>
      <c r="Q19">
        <f>$O$8*L19</f>
        <v>981.14550562237582</v>
      </c>
    </row>
    <row r="20" spans="1:23">
      <c r="A20" t="s">
        <v>537</v>
      </c>
      <c r="B20">
        <f>O7+O8</f>
        <v>1912.2926215273922</v>
      </c>
      <c r="L20">
        <v>0.9</v>
      </c>
      <c r="M20">
        <f t="shared" ref="M20:M23" si="1">$O$3*L20</f>
        <v>14349.355336654555</v>
      </c>
      <c r="N20">
        <f t="shared" ref="N20:N23" si="2">$S$9*L20</f>
        <v>10980.27612598996</v>
      </c>
      <c r="O20">
        <f t="shared" ref="O20:O23" si="3">$W$11*L20</f>
        <v>1512.5672866071295</v>
      </c>
      <c r="P20">
        <f t="shared" ref="P20:P23" si="4">$O$7*L20</f>
        <v>617.27466554948012</v>
      </c>
      <c r="Q20">
        <f t="shared" ref="Q20:Q23" si="5">$O$8*L20</f>
        <v>1103.7886938251729</v>
      </c>
      <c r="T20" t="s">
        <v>548</v>
      </c>
    </row>
    <row r="21" spans="1:23">
      <c r="A21" t="s">
        <v>538</v>
      </c>
      <c r="B21">
        <f>SUM(O9:O15)+O6</f>
        <v>153.25281993170586</v>
      </c>
      <c r="L21">
        <v>1</v>
      </c>
      <c r="M21">
        <f t="shared" si="1"/>
        <v>15943.728151838393</v>
      </c>
      <c r="N21">
        <f t="shared" si="2"/>
        <v>12200.30680665551</v>
      </c>
      <c r="O21">
        <f t="shared" si="3"/>
        <v>1680.6303184523661</v>
      </c>
      <c r="P21">
        <f t="shared" si="4"/>
        <v>685.86073949942238</v>
      </c>
      <c r="Q21">
        <f t="shared" si="5"/>
        <v>1226.4318820279698</v>
      </c>
      <c r="T21" t="s">
        <v>549</v>
      </c>
      <c r="U21">
        <f>O3*1.0246</f>
        <v>16335.943864373618</v>
      </c>
      <c r="V21">
        <f>U21-O3</f>
        <v>392.21571253522416</v>
      </c>
    </row>
    <row r="22" spans="1:23">
      <c r="L22">
        <v>1.1000000000000001</v>
      </c>
      <c r="M22">
        <f t="shared" si="1"/>
        <v>17538.100967022234</v>
      </c>
      <c r="N22">
        <f t="shared" si="2"/>
        <v>13420.337487321061</v>
      </c>
      <c r="O22">
        <f t="shared" si="3"/>
        <v>1848.6933502976028</v>
      </c>
      <c r="P22">
        <f t="shared" si="4"/>
        <v>754.44681344936464</v>
      </c>
      <c r="Q22">
        <f t="shared" si="5"/>
        <v>1349.0750702307669</v>
      </c>
      <c r="T22" t="s">
        <v>550</v>
      </c>
      <c r="U22">
        <f>S9*1.0231</f>
        <v>12482.133893889251</v>
      </c>
      <c r="V22">
        <f>U22-S9</f>
        <v>281.82708723374162</v>
      </c>
    </row>
    <row r="23" spans="1:23">
      <c r="L23">
        <v>1.2</v>
      </c>
      <c r="M23">
        <f t="shared" si="1"/>
        <v>19132.473782206071</v>
      </c>
      <c r="N23">
        <f t="shared" si="2"/>
        <v>14640.368167986611</v>
      </c>
      <c r="O23">
        <f t="shared" si="3"/>
        <v>2016.7563821428391</v>
      </c>
      <c r="P23">
        <f t="shared" si="4"/>
        <v>823.03288739930679</v>
      </c>
      <c r="Q23">
        <f t="shared" si="5"/>
        <v>1471.7182584335637</v>
      </c>
      <c r="T23" t="s">
        <v>551</v>
      </c>
      <c r="U23">
        <f>W11*0.4487</f>
        <v>754.09882388957658</v>
      </c>
      <c r="V23">
        <f>U23-W11</f>
        <v>-926.53149456278948</v>
      </c>
    </row>
    <row r="24" spans="1:23">
      <c r="M24" t="s">
        <v>542</v>
      </c>
      <c r="N24" t="s">
        <v>543</v>
      </c>
      <c r="O24" t="s">
        <v>545</v>
      </c>
      <c r="P24" t="s">
        <v>544</v>
      </c>
      <c r="Q24" t="s">
        <v>546</v>
      </c>
      <c r="T24" t="s">
        <v>552</v>
      </c>
      <c r="U24">
        <f>51*0.407</f>
        <v>20.756999999999998</v>
      </c>
      <c r="V24">
        <f>U24-O6</f>
        <v>-30.908728109930479</v>
      </c>
    </row>
    <row r="25" spans="1:23">
      <c r="L25">
        <v>0.8</v>
      </c>
      <c r="M25">
        <f>(SUM($O$4:$O$15)+$S$9+$W$11+M19)/$O$16</f>
        <v>0.90000863717945578</v>
      </c>
      <c r="N25">
        <f>(SUM($O$3:$O$15)+N19+$W$11)/$O$16</f>
        <v>0.92348556794192571</v>
      </c>
      <c r="O25">
        <f>(SUM($O$3:$O$15)+$S$9+O19)/$O$16</f>
        <v>0.98945989831617887</v>
      </c>
      <c r="P25">
        <f>(SUM($O$3:$O$15)+$S$9+$W$11-$O$7+P19)/$O$16</f>
        <v>0.99569861268364979</v>
      </c>
      <c r="Q25">
        <f>(SUM($O$3:$O$15)+$S$9+$W$11-$O$8+Q19)/$O$16</f>
        <v>0.99230841155075755</v>
      </c>
      <c r="V25">
        <f>SUM(V21:V24)</f>
        <v>-283.3974229037542</v>
      </c>
      <c r="W25">
        <f>V25*0.5</f>
        <v>-141.6987114518771</v>
      </c>
    </row>
    <row r="26" spans="1:23">
      <c r="L26">
        <v>0.9</v>
      </c>
      <c r="M26">
        <f t="shared" ref="M26:M29" si="6">(SUM($O$4:$O$15)+$S$9+$W$11+M20)/$O$16</f>
        <v>0.95000431858972789</v>
      </c>
      <c r="N26">
        <f t="shared" ref="N26:N29" si="7">(SUM($O$3:$O$15)+N20+$W$11)/$O$16</f>
        <v>0.96174278397096291</v>
      </c>
      <c r="O26">
        <f t="shared" ref="O26:O29" si="8">(SUM($O$3:$O$15)+$S$9+O20)/$O$16</f>
        <v>0.99472994915808943</v>
      </c>
      <c r="P26">
        <f t="shared" ref="P26:P29" si="9">(SUM($O$3:$O$15)+$S$9+$W$11-$O$7+P20)/$O$16</f>
        <v>0.997849306341825</v>
      </c>
      <c r="Q26">
        <f t="shared" ref="Q26:Q29" si="10">(SUM($O$3:$O$15)+$S$9+$W$11-$O$8+Q20)/$O$16</f>
        <v>0.99615420577537872</v>
      </c>
    </row>
    <row r="27" spans="1:23">
      <c r="L27">
        <v>1</v>
      </c>
      <c r="M27">
        <f t="shared" si="6"/>
        <v>0.99999999999999989</v>
      </c>
      <c r="N27">
        <f t="shared" si="7"/>
        <v>1</v>
      </c>
      <c r="O27">
        <f t="shared" si="8"/>
        <v>1</v>
      </c>
      <c r="P27">
        <f t="shared" si="9"/>
        <v>1</v>
      </c>
      <c r="Q27">
        <f t="shared" si="10"/>
        <v>1</v>
      </c>
    </row>
    <row r="28" spans="1:23">
      <c r="L28">
        <v>1.1000000000000001</v>
      </c>
      <c r="M28">
        <f t="shared" si="6"/>
        <v>1.049995681410272</v>
      </c>
      <c r="N28">
        <f t="shared" si="7"/>
        <v>1.0382572160290371</v>
      </c>
      <c r="O28">
        <f t="shared" si="8"/>
        <v>1.0052700508419106</v>
      </c>
      <c r="P28">
        <f t="shared" si="9"/>
        <v>1.0021506936581752</v>
      </c>
      <c r="Q28">
        <f t="shared" si="10"/>
        <v>1.0038457942246213</v>
      </c>
    </row>
    <row r="29" spans="1:23">
      <c r="L29">
        <v>1.2</v>
      </c>
      <c r="M29">
        <f t="shared" si="6"/>
        <v>1.0999913628205442</v>
      </c>
      <c r="N29">
        <f t="shared" si="7"/>
        <v>1.0765144320580742</v>
      </c>
      <c r="O29">
        <f t="shared" si="8"/>
        <v>1.0105401016838209</v>
      </c>
      <c r="P29">
        <f t="shared" si="9"/>
        <v>1.0043013873163502</v>
      </c>
      <c r="Q29">
        <f t="shared" si="10"/>
        <v>1.0076915884492426</v>
      </c>
    </row>
    <row r="31" spans="1:23">
      <c r="M31">
        <f>M25-1</f>
        <v>-9.9991362820544216E-2</v>
      </c>
      <c r="N31">
        <f>N25-1</f>
        <v>-7.6514432058074289E-2</v>
      </c>
      <c r="O31">
        <f t="shared" ref="O31:Q31" si="11">O25-1</f>
        <v>-1.0540101683821135E-2</v>
      </c>
      <c r="P31">
        <f t="shared" si="11"/>
        <v>-4.3013873163502137E-3</v>
      </c>
      <c r="Q31">
        <f t="shared" si="11"/>
        <v>-7.691588449242448E-3</v>
      </c>
    </row>
    <row r="32" spans="1:23">
      <c r="M32">
        <f t="shared" ref="M32:Q36" si="12">M26-1</f>
        <v>-4.9995681410272108E-2</v>
      </c>
      <c r="N32">
        <f t="shared" si="12"/>
        <v>-3.8257216029037089E-2</v>
      </c>
      <c r="O32">
        <f t="shared" si="12"/>
        <v>-5.2700508419105674E-3</v>
      </c>
      <c r="P32">
        <f t="shared" si="12"/>
        <v>-2.1506936581749958E-3</v>
      </c>
      <c r="Q32">
        <f t="shared" si="12"/>
        <v>-3.8457942246212795E-3</v>
      </c>
    </row>
    <row r="33" spans="13:17">
      <c r="M33">
        <f t="shared" si="12"/>
        <v>0</v>
      </c>
      <c r="N33">
        <f t="shared" si="12"/>
        <v>0</v>
      </c>
      <c r="O33">
        <f t="shared" si="12"/>
        <v>0</v>
      </c>
      <c r="P33">
        <f t="shared" si="12"/>
        <v>0</v>
      </c>
      <c r="Q33">
        <f t="shared" si="12"/>
        <v>0</v>
      </c>
    </row>
    <row r="34" spans="13:17">
      <c r="M34">
        <f t="shared" si="12"/>
        <v>4.9995681410271997E-2</v>
      </c>
      <c r="N34">
        <f t="shared" si="12"/>
        <v>3.8257216029037089E-2</v>
      </c>
      <c r="O34">
        <f t="shared" si="12"/>
        <v>5.2700508419105674E-3</v>
      </c>
      <c r="P34">
        <f t="shared" si="12"/>
        <v>2.1506936581752178E-3</v>
      </c>
      <c r="Q34">
        <f t="shared" si="12"/>
        <v>3.8457942246212795E-3</v>
      </c>
    </row>
    <row r="35" spans="13:17">
      <c r="M35">
        <f t="shared" si="12"/>
        <v>9.9991362820544216E-2</v>
      </c>
      <c r="N35">
        <f t="shared" si="12"/>
        <v>7.6514432058074178E-2</v>
      </c>
      <c r="O35">
        <f t="shared" si="12"/>
        <v>1.0540101683820913E-2</v>
      </c>
      <c r="P35">
        <f t="shared" si="12"/>
        <v>4.3013873163502137E-3</v>
      </c>
      <c r="Q35">
        <f t="shared" si="12"/>
        <v>7.691588449242559E-3</v>
      </c>
    </row>
    <row r="36" spans="13:17">
      <c r="M36">
        <f t="shared" si="12"/>
        <v>-1</v>
      </c>
    </row>
  </sheetData>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B7"/>
  <sheetViews>
    <sheetView workbookViewId="0">
      <selection activeCell="A7" sqref="A7"/>
    </sheetView>
  </sheetViews>
  <sheetFormatPr defaultRowHeight="14.25"/>
  <cols>
    <col min="1" max="1" width="25.125" customWidth="1"/>
  </cols>
  <sheetData>
    <row r="1" spans="1:2">
      <c r="A1" t="s">
        <v>531</v>
      </c>
    </row>
    <row r="2" spans="1:2">
      <c r="A2" t="s">
        <v>532</v>
      </c>
      <c r="B2">
        <f>Sheet6!L4*2.3*40*0.129/1000</f>
        <v>484.26414917436159</v>
      </c>
    </row>
    <row r="3" spans="1:2">
      <c r="A3" t="s">
        <v>533</v>
      </c>
      <c r="B3">
        <f>(Sheet6!L3+Sheet6!L5+Sheet6!L6+Sheet6!L7*0.6+Sheet6!L8/529*1.7+Sheet6!L9+Sheet6!L10+Sheet6!L11+Sheet6!L12+Sheet6!L13*0.07+Sheet6!L14*0.003)*500*0.01/1000</f>
        <v>193.91096627867066</v>
      </c>
    </row>
    <row r="4" spans="1:2">
      <c r="B4">
        <f>B2+B3</f>
        <v>678.17511545303228</v>
      </c>
    </row>
    <row r="6" spans="1:2">
      <c r="A6" t="s">
        <v>539</v>
      </c>
      <c r="B6" t="s">
        <v>540</v>
      </c>
    </row>
    <row r="7" spans="1:2">
      <c r="A7">
        <f>(Sheet6!L3+Sheet6!L5+Sheet6!L6+Sheet6!L7*0.6+Sheet6!L8/529*1.7+Sheet6!L9+Sheet6!L10+Sheet6!L11+Sheet6!L12+Sheet6!L13*0.07+Sheet6!L14*0.003+Sheet6!L4*2.3)*40*0.129/1000</f>
        <v>684.38026637394967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Sheet1</vt:lpstr>
      <vt:lpstr>Sheet2</vt:lpstr>
      <vt:lpstr>Sheet3</vt:lpstr>
      <vt:lpstr>Sheet4</vt:lpstr>
      <vt:lpstr>Sheet5</vt:lpstr>
      <vt:lpstr>Sheet6</vt:lpstr>
      <vt:lpstr>建筑材料运输</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HZ W</dc:creator>
  <cp:lastModifiedBy>admin</cp:lastModifiedBy>
  <dcterms:created xsi:type="dcterms:W3CDTF">2015-06-05T18:17:20Z</dcterms:created>
  <dcterms:modified xsi:type="dcterms:W3CDTF">2022-04-26T10:33:25Z</dcterms:modified>
</cp:coreProperties>
</file>