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260" windowHeight="12645" activeTab="7"/>
  </bookViews>
  <sheets>
    <sheet name="Sheet1" sheetId="1" r:id="rId1"/>
    <sheet name="土石方工程量" sheetId="2" r:id="rId2"/>
    <sheet name="独立基础工程量" sheetId="3" r:id="rId3"/>
    <sheet name="砌体工程量" sheetId="4" r:id="rId4"/>
    <sheet name="混凝土工程" sheetId="5" r:id="rId5"/>
    <sheet name="主体结构钢筋工程" sheetId="6" r:id="rId6"/>
    <sheet name="垂直运输工程" sheetId="7" r:id="rId7"/>
    <sheet name="Sheet2" sheetId="8" r:id="rId8"/>
  </sheets>
  <externalReferences>
    <externalReference r:id="rId9"/>
    <externalReference r:id="rId10"/>
    <externalReference r:id="rId11"/>
    <externalReference r:id="rId12"/>
    <externalReference r:id="rId13"/>
  </externalReferenc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6"/>
  <c r="H10"/>
  <c r="H11"/>
  <c r="H12"/>
  <c r="H13"/>
  <c r="H14"/>
  <c r="H14" i="5"/>
  <c r="E8" i="7"/>
  <c r="E3" i="4" l="1"/>
  <c r="E4"/>
  <c r="E5"/>
  <c r="E6" i="5" l="1"/>
  <c r="E13"/>
  <c r="E6" i="6"/>
  <c r="E7"/>
  <c r="E12"/>
  <c r="E3"/>
  <c r="E8"/>
  <c r="E9"/>
  <c r="E4"/>
  <c r="E5"/>
  <c r="E3" i="7" l="1"/>
  <c r="E6" i="4" l="1"/>
  <c r="E9"/>
  <c r="E8"/>
  <c r="E11"/>
  <c r="E10"/>
  <c r="E7"/>
  <c r="D12" i="5"/>
  <c r="E12" s="1"/>
  <c r="D3" l="1"/>
  <c r="E3" s="1"/>
  <c r="G4" s="1"/>
  <c r="H4" s="1"/>
  <c r="E13" i="3" l="1"/>
  <c r="E12" l="1"/>
  <c r="B20" i="2" l="1"/>
  <c r="I1"/>
  <c r="G1"/>
  <c r="E1"/>
  <c r="L85"/>
  <c r="L115"/>
  <c r="L42"/>
  <c r="B19"/>
  <c r="B21" s="1"/>
  <c r="B1" l="1"/>
  <c r="R3" s="1"/>
  <c r="B8"/>
  <c r="B9"/>
  <c r="B10" s="1"/>
  <c r="B11" l="1"/>
  <c r="G14" s="1"/>
  <c r="G11" l="1"/>
  <c r="R7" s="1"/>
  <c r="R8"/>
  <c r="R10"/>
  <c r="R9"/>
  <c r="R6" l="1"/>
  <c r="R4"/>
  <c r="R5"/>
  <c r="E7" i="3" l="1"/>
  <c r="E8"/>
  <c r="E11"/>
  <c r="E9"/>
  <c r="E10"/>
  <c r="E6"/>
  <c r="E5"/>
  <c r="E3"/>
  <c r="G3" s="1"/>
  <c r="E4"/>
  <c r="G5" l="1"/>
  <c r="G8"/>
  <c r="T5" i="2"/>
  <c r="T10"/>
  <c r="G6" i="5"/>
  <c r="H9" s="1"/>
  <c r="G12"/>
  <c r="H12" s="1"/>
  <c r="G12" i="3"/>
  <c r="T7" i="2"/>
  <c r="G8" i="7"/>
  <c r="G15" s="1"/>
  <c r="B6" i="8" s="1"/>
  <c r="G3" i="7"/>
  <c r="G13" i="3"/>
  <c r="G13" i="5"/>
  <c r="H13" s="1"/>
  <c r="G4" i="4"/>
  <c r="T8" i="2"/>
  <c r="G6" i="3"/>
  <c r="G15" i="5" l="1"/>
  <c r="B4" i="8" s="1"/>
  <c r="G3" i="6"/>
  <c r="H3" s="1"/>
  <c r="G6" i="4"/>
  <c r="G8" i="6"/>
  <c r="H8" s="1"/>
  <c r="G11" i="4"/>
  <c r="G4" i="6"/>
  <c r="H4" s="1"/>
  <c r="G7" i="4"/>
  <c r="G7" i="6"/>
  <c r="H7" s="1"/>
  <c r="G9" i="4"/>
  <c r="G6" i="6"/>
  <c r="H6" s="1"/>
  <c r="G10" i="4"/>
  <c r="G5" i="6"/>
  <c r="H5" s="1"/>
  <c r="G8" i="4"/>
  <c r="T4" i="2"/>
  <c r="T3"/>
  <c r="T9"/>
  <c r="T11" s="1"/>
  <c r="B1" i="8" s="1"/>
  <c r="G4" i="3"/>
  <c r="G7"/>
  <c r="G11"/>
  <c r="G9"/>
  <c r="G10"/>
  <c r="G15" l="1"/>
  <c r="B2" i="8" s="1"/>
  <c r="G15" i="6"/>
  <c r="G12" i="4"/>
  <c r="B5" i="8" l="1"/>
  <c r="H15" i="6"/>
  <c r="J15" s="1"/>
  <c r="B3" i="8"/>
  <c r="H12" i="4"/>
  <c r="B7" i="8" l="1"/>
</calcChain>
</file>

<file path=xl/sharedStrings.xml><?xml version="1.0" encoding="utf-8"?>
<sst xmlns="http://schemas.openxmlformats.org/spreadsheetml/2006/main" count="186" uniqueCount="108">
  <si>
    <t>土石方工程</t>
    <phoneticPr fontId="1" type="noConversion"/>
  </si>
  <si>
    <t>说明：地下室建筑方案会给地下室底板标高，此标高减去地下室底板厚度，再减去垫层厚度
（通常取100），就是基坑底的标高。
采用独立桩基础，混凝土浇筑。</t>
    <phoneticPr fontId="1" type="noConversion"/>
  </si>
  <si>
    <t>土地平整量</t>
    <phoneticPr fontId="1" type="noConversion"/>
  </si>
  <si>
    <t>地下二层楼板下垫层</t>
    <phoneticPr fontId="1" type="noConversion"/>
  </si>
  <si>
    <t>地下二层侧厚度</t>
    <phoneticPr fontId="1" type="noConversion"/>
  </si>
  <si>
    <t>地下二层楼板厚度</t>
    <phoneticPr fontId="1" type="noConversion"/>
  </si>
  <si>
    <t>地下二层底层标高</t>
    <phoneticPr fontId="1" type="noConversion"/>
  </si>
  <si>
    <t>地下二层面积</t>
    <phoneticPr fontId="1" type="noConversion"/>
  </si>
  <si>
    <t>地下二层基坑深度</t>
    <phoneticPr fontId="1" type="noConversion"/>
  </si>
  <si>
    <t>9.3基坑土方量</t>
    <phoneticPr fontId="1" type="noConversion"/>
  </si>
  <si>
    <t>m3</t>
    <phoneticPr fontId="1" type="noConversion"/>
  </si>
  <si>
    <t>地下一层楼板下垫层</t>
    <phoneticPr fontId="1" type="noConversion"/>
  </si>
  <si>
    <t>地下一层侧厚度</t>
    <phoneticPr fontId="1" type="noConversion"/>
  </si>
  <si>
    <t>地下一层楼板厚度</t>
    <phoneticPr fontId="1" type="noConversion"/>
  </si>
  <si>
    <t>地下一层底层标高</t>
    <phoneticPr fontId="1" type="noConversion"/>
  </si>
  <si>
    <t>地下一层面积</t>
    <phoneticPr fontId="1" type="noConversion"/>
  </si>
  <si>
    <t>地下一层基坑深度</t>
    <phoneticPr fontId="1" type="noConversion"/>
  </si>
  <si>
    <t>3.9基坑土方量</t>
    <phoneticPr fontId="1" type="noConversion"/>
  </si>
  <si>
    <t>块1面积</t>
    <phoneticPr fontId="1" type="noConversion"/>
  </si>
  <si>
    <t>块2面积</t>
    <phoneticPr fontId="1" type="noConversion"/>
  </si>
  <si>
    <t>块3面积</t>
    <phoneticPr fontId="1" type="noConversion"/>
  </si>
  <si>
    <t>地下一层建筑物体积</t>
    <phoneticPr fontId="1" type="noConversion"/>
  </si>
  <si>
    <t>地下二层建筑体积</t>
    <phoneticPr fontId="1" type="noConversion"/>
  </si>
  <si>
    <t>土方回填量</t>
    <phoneticPr fontId="1" type="noConversion"/>
  </si>
  <si>
    <t>m2</t>
    <phoneticPr fontId="1" type="noConversion"/>
  </si>
  <si>
    <t>土方开挖总量</t>
    <phoneticPr fontId="1" type="noConversion"/>
  </si>
  <si>
    <t>土方工程施工工程量</t>
    <phoneticPr fontId="1" type="noConversion"/>
  </si>
  <si>
    <t>施工类型</t>
    <phoneticPr fontId="1" type="noConversion"/>
  </si>
  <si>
    <t>单元过程</t>
    <phoneticPr fontId="1" type="noConversion"/>
  </si>
  <si>
    <t>使用机械</t>
    <phoneticPr fontId="1" type="noConversion"/>
  </si>
  <si>
    <t>单位</t>
    <phoneticPr fontId="1" type="noConversion"/>
  </si>
  <si>
    <t>土石方工程</t>
    <phoneticPr fontId="1" type="noConversion"/>
  </si>
  <si>
    <t>土地平整</t>
    <phoneticPr fontId="1" type="noConversion"/>
  </si>
  <si>
    <t>单位工程台班数</t>
    <phoneticPr fontId="1" type="noConversion"/>
  </si>
  <si>
    <t>台班数</t>
    <phoneticPr fontId="1" type="noConversion"/>
  </si>
  <si>
    <t>台班</t>
    <phoneticPr fontId="1" type="noConversion"/>
  </si>
  <si>
    <t>75kW履带式推土机
柴油消耗</t>
    <phoneticPr fontId="1" type="noConversion"/>
  </si>
  <si>
    <t>挖基础土方</t>
    <phoneticPr fontId="1" type="noConversion"/>
  </si>
  <si>
    <t>1m3履带式单斗液压挖掘机</t>
    <phoneticPr fontId="1" type="noConversion"/>
  </si>
  <si>
    <t>普工</t>
    <phoneticPr fontId="1" type="noConversion"/>
  </si>
  <si>
    <t>15t自装自卸汽车</t>
    <phoneticPr fontId="1" type="noConversion"/>
  </si>
  <si>
    <t>土方回填</t>
    <phoneticPr fontId="1" type="noConversion"/>
  </si>
  <si>
    <t>钢轮内燃压路机15t</t>
    <phoneticPr fontId="1" type="noConversion"/>
  </si>
  <si>
    <t>洒水车4000L</t>
    <phoneticPr fontId="1" type="noConversion"/>
  </si>
  <si>
    <t>台班</t>
    <phoneticPr fontId="1" type="noConversion"/>
  </si>
  <si>
    <t>日工</t>
    <phoneticPr fontId="1" type="noConversion"/>
  </si>
  <si>
    <t>独立基础施工工程量</t>
    <phoneticPr fontId="1" type="noConversion"/>
  </si>
  <si>
    <t>独立基础施工工程量</t>
    <phoneticPr fontId="1" type="noConversion"/>
  </si>
  <si>
    <t>混凝土工程</t>
    <phoneticPr fontId="1" type="noConversion"/>
  </si>
  <si>
    <t>钢筋工程</t>
    <phoneticPr fontId="1" type="noConversion"/>
  </si>
  <si>
    <t>模板工程</t>
    <phoneticPr fontId="1" type="noConversion"/>
  </si>
  <si>
    <t>水</t>
    <phoneticPr fontId="1" type="noConversion"/>
  </si>
  <si>
    <t>混凝土震捣器(插入式)，电能消耗</t>
    <phoneticPr fontId="1" type="noConversion"/>
  </si>
  <si>
    <t>混凝土输送泵车，柴油消耗</t>
    <phoneticPr fontId="1" type="noConversion"/>
  </si>
  <si>
    <t>台班</t>
    <phoneticPr fontId="1" type="noConversion"/>
  </si>
  <si>
    <t>钢筋调直机，电能消耗</t>
    <phoneticPr fontId="1" type="noConversion"/>
  </si>
  <si>
    <t>钢筋弯曲机，电能消耗</t>
    <phoneticPr fontId="1" type="noConversion"/>
  </si>
  <si>
    <t>钢筋切断机，电能消耗</t>
    <phoneticPr fontId="1" type="noConversion"/>
  </si>
  <si>
    <t>对焊机75kV·A</t>
    <phoneticPr fontId="1" type="noConversion"/>
  </si>
  <si>
    <t>直流弧焊机32kV·A</t>
    <phoneticPr fontId="1" type="noConversion"/>
  </si>
  <si>
    <t>电焊条烘箱</t>
    <phoneticPr fontId="1" type="noConversion"/>
  </si>
  <si>
    <t>木工圆锯机，500mm</t>
    <phoneticPr fontId="1" type="noConversion"/>
  </si>
  <si>
    <t>载重汽车，6t</t>
    <phoneticPr fontId="1" type="noConversion"/>
  </si>
  <si>
    <t>砌筑工程施工工程量</t>
    <phoneticPr fontId="1" type="noConversion"/>
  </si>
  <si>
    <t>砂浆生产</t>
    <phoneticPr fontId="1" type="noConversion"/>
  </si>
  <si>
    <t>砌体钢筋加固</t>
    <phoneticPr fontId="1" type="noConversion"/>
  </si>
  <si>
    <t>干混罐式砂浆搅拌机，电力消耗</t>
    <phoneticPr fontId="1" type="noConversion"/>
  </si>
  <si>
    <t>注：此处砂浆仅计算用于墙体砌筑所用，统一按照蒸压加气混凝土砌块墙与多孔砖石砌墙计算</t>
    <phoneticPr fontId="1" type="noConversion"/>
  </si>
  <si>
    <t>钢筋调直机，电能消耗</t>
    <phoneticPr fontId="1" type="noConversion"/>
  </si>
  <si>
    <t>混凝土工程施工工程量</t>
    <phoneticPr fontId="1" type="noConversion"/>
  </si>
  <si>
    <t>混凝土养护</t>
    <phoneticPr fontId="1" type="noConversion"/>
  </si>
  <si>
    <t>楼柱、楼板、墙体以及楼梯的混凝土浇筑量分开计算</t>
    <phoneticPr fontId="1" type="noConversion"/>
  </si>
  <si>
    <t>混凝土输送</t>
    <phoneticPr fontId="1" type="noConversion"/>
  </si>
  <si>
    <t>混凝土输送泵车，柴油消耗</t>
    <phoneticPr fontId="1" type="noConversion"/>
  </si>
  <si>
    <t>台班</t>
    <phoneticPr fontId="1" type="noConversion"/>
  </si>
  <si>
    <t>混凝土振捣</t>
    <phoneticPr fontId="1" type="noConversion"/>
  </si>
  <si>
    <t>混凝土振捣器，插入式，电力消耗</t>
    <phoneticPr fontId="1" type="noConversion"/>
  </si>
  <si>
    <t>混凝土抹平机，电力消耗</t>
    <phoneticPr fontId="1" type="noConversion"/>
  </si>
  <si>
    <t>kW·h</t>
    <phoneticPr fontId="1" type="noConversion"/>
  </si>
  <si>
    <t>主体结构钢筋工程施工工程量</t>
    <phoneticPr fontId="1" type="noConversion"/>
  </si>
  <si>
    <t>钢筋工程施工量</t>
    <phoneticPr fontId="1" type="noConversion"/>
  </si>
  <si>
    <t>钢筋加工</t>
    <phoneticPr fontId="1" type="noConversion"/>
  </si>
  <si>
    <t>钢筋调直机 40mm</t>
    <phoneticPr fontId="1" type="noConversion"/>
  </si>
  <si>
    <t>钢筋切断机 40mm</t>
    <phoneticPr fontId="1" type="noConversion"/>
  </si>
  <si>
    <t>钢筋弯曲机40mm</t>
    <phoneticPr fontId="1" type="noConversion"/>
  </si>
  <si>
    <t>钢筋焊接</t>
    <phoneticPr fontId="1" type="noConversion"/>
  </si>
  <si>
    <t>直流弧焊机32kV·A</t>
    <phoneticPr fontId="1" type="noConversion"/>
  </si>
  <si>
    <t>对焊机75kV·A</t>
    <phoneticPr fontId="1" type="noConversion"/>
  </si>
  <si>
    <t>电焊条烘干箱</t>
    <phoneticPr fontId="1" type="noConversion"/>
  </si>
  <si>
    <t>低合金电焊条</t>
    <phoneticPr fontId="1" type="noConversion"/>
  </si>
  <si>
    <t>kg</t>
    <phoneticPr fontId="1" type="noConversion"/>
  </si>
  <si>
    <t>钢筋绑扎</t>
    <phoneticPr fontId="1" type="noConversion"/>
  </si>
  <si>
    <t>镀锌铁丝</t>
    <phoneticPr fontId="1" type="noConversion"/>
  </si>
  <si>
    <t>垂直运输施工工程量</t>
    <phoneticPr fontId="1" type="noConversion"/>
  </si>
  <si>
    <t>垂直运输施工工程</t>
    <phoneticPr fontId="1" type="noConversion"/>
  </si>
  <si>
    <t>24m(5层)现浇框架式结构建筑垂直运输</t>
    <phoneticPr fontId="1" type="noConversion"/>
  </si>
  <si>
    <t>自升式塔式起重机 400kN·m</t>
    <phoneticPr fontId="1" type="noConversion"/>
  </si>
  <si>
    <t>单笼施工电梯1t 75m</t>
    <phoneticPr fontId="1" type="noConversion"/>
  </si>
  <si>
    <t>交流弧焊机32kV·A</t>
    <phoneticPr fontId="1" type="noConversion"/>
  </si>
  <si>
    <t>砌体工程量</t>
    <phoneticPr fontId="1" type="noConversion"/>
  </si>
  <si>
    <t>碳排放量(tCO2)</t>
    <phoneticPr fontId="1" type="noConversion"/>
  </si>
  <si>
    <t>台班</t>
    <phoneticPr fontId="1" type="noConversion"/>
  </si>
  <si>
    <t>土石方工程</t>
    <phoneticPr fontId="1" type="noConversion"/>
  </si>
  <si>
    <t>独立基础工程</t>
    <phoneticPr fontId="1" type="noConversion"/>
  </si>
  <si>
    <t>砌体工程</t>
    <phoneticPr fontId="1" type="noConversion"/>
  </si>
  <si>
    <t>混凝土工程</t>
    <phoneticPr fontId="1" type="noConversion"/>
  </si>
  <si>
    <t>主体结构钢筋工程</t>
    <phoneticPr fontId="1" type="noConversion"/>
  </si>
  <si>
    <t>垂直运输工程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</si>
</sst>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76200</xdr:rowOff>
    </xdr:from>
    <xdr:to>
      <xdr:col>16</xdr:col>
      <xdr:colOff>857250</xdr:colOff>
      <xdr:row>40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238625"/>
          <a:ext cx="15954375" cy="30956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66675</xdr:colOff>
      <xdr:row>45</xdr:row>
      <xdr:rowOff>0</xdr:rowOff>
    </xdr:from>
    <xdr:to>
      <xdr:col>14</xdr:col>
      <xdr:colOff>982186</xdr:colOff>
      <xdr:row>82</xdr:row>
      <xdr:rowOff>162883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81475" y="8143875"/>
          <a:ext cx="7954486" cy="6858958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86</xdr:row>
      <xdr:rowOff>28575</xdr:rowOff>
    </xdr:from>
    <xdr:to>
      <xdr:col>13</xdr:col>
      <xdr:colOff>1858194</xdr:colOff>
      <xdr:row>112</xdr:row>
      <xdr:rowOff>57811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191125" y="15592425"/>
          <a:ext cx="5868219" cy="47345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0899;&#25490;&#25918;&#22240;&#233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4314;&#26448;&#28165;&#21333;&#26680;&#3163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6.1&#23452;&#20852;&#19975;&#36798;&#24191;&#22330;&#22303;&#24314;&#24037;&#31243;&#37327;&#28165;&#21333;(3.16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21830;&#19994;&#20013;&#24515;&#19968;&#26399;&#22320;&#19979;&#23460;&#22303;&#2431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22269;&#38469;&#36335;&#24066;&#25919;&#32508;&#21512;&#20307;&#21442;&#2596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主要能源碳排放因子"/>
      <sheetName val="电力碳排放因子"/>
      <sheetName val="建筑材料碳排放因子"/>
      <sheetName val="材料运输碳排放因子"/>
      <sheetName val="施工机械台班能源用量"/>
    </sheetNames>
    <sheetDataSet>
      <sheetData sheetId="0" refreshError="1"/>
      <sheetData sheetId="1" refreshError="1"/>
      <sheetData sheetId="2">
        <row r="3">
          <cell r="C3">
            <v>2.34</v>
          </cell>
        </row>
        <row r="36">
          <cell r="D36">
            <v>0.16800000000000001</v>
          </cell>
        </row>
      </sheetData>
      <sheetData sheetId="3" refreshError="1"/>
      <sheetData sheetId="4">
        <row r="3">
          <cell r="H3">
            <v>0.17143153761160002</v>
          </cell>
        </row>
        <row r="6">
          <cell r="H6">
            <v>0.1911537499032</v>
          </cell>
        </row>
        <row r="8">
          <cell r="H8">
            <v>0.13031831044988001</v>
          </cell>
        </row>
        <row r="14">
          <cell r="H14">
            <v>2.4949756E-2</v>
          </cell>
        </row>
        <row r="15">
          <cell r="H15">
            <v>0.80721497816265619</v>
          </cell>
        </row>
        <row r="16">
          <cell r="H16">
            <v>0.10085635947273602</v>
          </cell>
        </row>
        <row r="18">
          <cell r="H18">
            <v>0.17215974237313603</v>
          </cell>
        </row>
        <row r="19">
          <cell r="H19">
            <v>8.659352184546E-2</v>
          </cell>
        </row>
        <row r="20">
          <cell r="H20">
            <v>1.3642187000000002E-2</v>
          </cell>
        </row>
        <row r="21">
          <cell r="H21">
            <v>2.3582E-3</v>
          </cell>
        </row>
        <row r="23">
          <cell r="H23">
            <v>0.216930818</v>
          </cell>
        </row>
        <row r="24">
          <cell r="H24">
            <v>1.6808070500000005E-2</v>
          </cell>
        </row>
        <row r="26">
          <cell r="H26">
            <v>7.015645E-3</v>
          </cell>
        </row>
        <row r="27">
          <cell r="H27">
            <v>1.8924555000000003E-2</v>
          </cell>
        </row>
        <row r="28">
          <cell r="H28">
            <v>7.5462400000000009E-3</v>
          </cell>
        </row>
        <row r="29">
          <cell r="H29">
            <v>7.1925100000000006E-2</v>
          </cell>
        </row>
        <row r="30">
          <cell r="H30">
            <v>5.6909261500000002E-2</v>
          </cell>
        </row>
        <row r="31">
          <cell r="H31">
            <v>3.9499850000000005E-3</v>
          </cell>
        </row>
        <row r="32">
          <cell r="H32">
            <v>1.4149200000000001E-2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建筑材料运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L3">
            <v>6806.2873647122287</v>
          </cell>
          <cell r="N3">
            <v>2981.7899269638542</v>
          </cell>
        </row>
        <row r="4">
          <cell r="L4">
            <v>40804.191875156866</v>
          </cell>
          <cell r="N4">
            <v>17026.309361057127</v>
          </cell>
        </row>
        <row r="5">
          <cell r="L5">
            <v>9825.0384838524114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填报指引"/>
      <sheetName val="清单总目录"/>
      <sheetName val="投标总价表"/>
      <sheetName val="14#措施项目清单"/>
      <sheetName val="15#其它项目清单计价汇总表"/>
      <sheetName val="材料暂估价表 "/>
      <sheetName val="专业工程暂估价表"/>
      <sheetName val="总承包服务费计价表"/>
      <sheetName val="1∽10#土建工程量清单计价汇总表"/>
      <sheetName val="大商业、室外步行街、写字楼、酒店、住宅"/>
      <sheetName val="土建工程综合单价表"/>
      <sheetName val="土建工程综合单价组价明细表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04">
          <cell r="H204">
            <v>26622.6794909091</v>
          </cell>
        </row>
        <row r="253">
          <cell r="G253">
            <v>205888.97673090899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单位工程招标控制价汇总表(格式二)"/>
      <sheetName val="分部分项工程计价表"/>
      <sheetName val="措施项目计价表(一)"/>
      <sheetName val="措施项目计价表(二)"/>
      <sheetName val="其他项目计价表"/>
      <sheetName val="规费和税金项目计算表"/>
      <sheetName val="主要材料设备价格表"/>
    </sheetNames>
    <sheetDataSet>
      <sheetData sheetId="0"/>
      <sheetData sheetId="1">
        <row r="27">
          <cell r="L27">
            <v>0.41726863291767302</v>
          </cell>
          <cell r="M27">
            <v>0.43809345200780025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总体用地情况"/>
      <sheetName val="地下二层"/>
      <sheetName val="地下一层"/>
      <sheetName val="地上一层"/>
      <sheetName val="地上二层"/>
      <sheetName val="地上三层"/>
      <sheetName val="地上四层"/>
      <sheetName val="地上五层"/>
    </sheetNames>
    <sheetDataSet>
      <sheetData sheetId="0">
        <row r="3">
          <cell r="C3">
            <v>97063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D39" sqref="D39"/>
    </sheetView>
  </sheetViews>
  <sheetFormatPr defaultRowHeight="14.25"/>
  <sheetData>
    <row r="1" spans="1:9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1</v>
      </c>
      <c r="B2" s="11"/>
      <c r="C2" s="11"/>
      <c r="D2" s="11"/>
      <c r="E2" s="11"/>
      <c r="F2" s="11"/>
      <c r="G2" s="11"/>
      <c r="H2" s="11"/>
      <c r="I2" s="11"/>
    </row>
    <row r="3" spans="1:9">
      <c r="A3" s="11"/>
      <c r="B3" s="11"/>
      <c r="C3" s="11"/>
      <c r="D3" s="11"/>
      <c r="E3" s="11"/>
      <c r="F3" s="11"/>
      <c r="G3" s="11"/>
      <c r="H3" s="11"/>
      <c r="I3" s="11"/>
    </row>
    <row r="4" spans="1:9">
      <c r="A4" s="11"/>
      <c r="B4" s="11"/>
      <c r="C4" s="11"/>
      <c r="D4" s="11"/>
      <c r="E4" s="11"/>
      <c r="F4" s="11"/>
      <c r="G4" s="11"/>
      <c r="H4" s="11"/>
      <c r="I4" s="11"/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11"/>
      <c r="B6" s="11"/>
      <c r="C6" s="11"/>
      <c r="D6" s="11"/>
      <c r="E6" s="11"/>
      <c r="F6" s="11"/>
      <c r="G6" s="11"/>
      <c r="H6" s="11"/>
      <c r="I6" s="11"/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11"/>
      <c r="B8" s="11"/>
      <c r="C8" s="11"/>
      <c r="D8" s="11"/>
      <c r="E8" s="11"/>
      <c r="F8" s="11"/>
      <c r="G8" s="11"/>
      <c r="H8" s="11"/>
      <c r="I8" s="11"/>
    </row>
    <row r="9" spans="1:9">
      <c r="A9" s="11"/>
      <c r="B9" s="11"/>
      <c r="C9" s="11"/>
      <c r="D9" s="11"/>
      <c r="E9" s="11"/>
      <c r="F9" s="11"/>
      <c r="G9" s="11"/>
      <c r="H9" s="11"/>
      <c r="I9" s="11"/>
    </row>
    <row r="10" spans="1:9">
      <c r="A10" s="11"/>
      <c r="B10" s="11"/>
      <c r="C10" s="11"/>
      <c r="D10" s="11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</sheetData>
  <mergeCells count="2">
    <mergeCell ref="A1:I1"/>
    <mergeCell ref="A2:I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5"/>
  <sheetViews>
    <sheetView topLeftCell="I1" workbookViewId="0">
      <selection activeCell="T12" sqref="T12"/>
    </sheetView>
  </sheetViews>
  <sheetFormatPr defaultRowHeight="14.25"/>
  <cols>
    <col min="2" max="2" width="9.5" bestFit="1" customWidth="1"/>
    <col min="12" max="12" width="12.75" bestFit="1" customWidth="1"/>
    <col min="14" max="19" width="25.625" customWidth="1"/>
  </cols>
  <sheetData>
    <row r="1" spans="1:20">
      <c r="A1" t="s">
        <v>2</v>
      </c>
      <c r="B1">
        <f>E1+G1+I1</f>
        <v>24696.002500000002</v>
      </c>
      <c r="C1" t="s">
        <v>24</v>
      </c>
      <c r="D1" t="s">
        <v>18</v>
      </c>
      <c r="E1">
        <f>(198300+4200+4000)*(8400+9200+1000+9105+4000)/1000000</f>
        <v>6547.0825000000004</v>
      </c>
      <c r="F1" t="s">
        <v>19</v>
      </c>
      <c r="G1">
        <f>(8400*10+13500+8100+8700+7500+4000)*(132500+5700-11500*2-6600)/1000000</f>
        <v>13661.88</v>
      </c>
      <c r="H1" t="s">
        <v>20</v>
      </c>
      <c r="I1">
        <f>(8400*8+8700+2000)*(8400*5+9600+2000+4000)/1000000</f>
        <v>4487.04</v>
      </c>
      <c r="N1" s="9" t="s">
        <v>26</v>
      </c>
      <c r="O1" s="9"/>
      <c r="P1" s="9"/>
      <c r="Q1" s="9"/>
      <c r="R1" s="9"/>
      <c r="S1" s="9"/>
    </row>
    <row r="2" spans="1:20">
      <c r="N2" s="1" t="s">
        <v>27</v>
      </c>
      <c r="O2" s="1" t="s">
        <v>28</v>
      </c>
      <c r="P2" s="1" t="s">
        <v>29</v>
      </c>
      <c r="Q2" s="1" t="s">
        <v>33</v>
      </c>
      <c r="R2" s="1" t="s">
        <v>34</v>
      </c>
      <c r="S2" s="1" t="s">
        <v>30</v>
      </c>
      <c r="T2" s="8" t="s">
        <v>100</v>
      </c>
    </row>
    <row r="3" spans="1:20" ht="28.5">
      <c r="N3" s="11" t="s">
        <v>31</v>
      </c>
      <c r="O3" s="2" t="s">
        <v>32</v>
      </c>
      <c r="P3" s="3" t="s">
        <v>36</v>
      </c>
      <c r="Q3" s="2">
        <v>0.15</v>
      </c>
      <c r="R3" s="2">
        <f>B1/100*Q3</f>
        <v>37.044003750000002</v>
      </c>
      <c r="S3" s="2" t="s">
        <v>35</v>
      </c>
      <c r="T3">
        <f>R3*[1]施工机械台班能源用量!$H$3</f>
        <v>6.3505105221523772</v>
      </c>
    </row>
    <row r="4" spans="1:20" ht="28.5">
      <c r="A4" t="s">
        <v>11</v>
      </c>
      <c r="B4">
        <v>2950</v>
      </c>
      <c r="N4" s="11"/>
      <c r="O4" s="11" t="s">
        <v>37</v>
      </c>
      <c r="P4" s="3" t="s">
        <v>36</v>
      </c>
      <c r="Q4" s="2">
        <v>2E-3</v>
      </c>
      <c r="R4" s="2">
        <f>G11/10*Q4</f>
        <v>49.532659425000006</v>
      </c>
      <c r="S4" s="2" t="s">
        <v>44</v>
      </c>
      <c r="T4">
        <f>R4*[1]施工机械台班能源用量!$H$3</f>
        <v>8.4914599672194626</v>
      </c>
    </row>
    <row r="5" spans="1:20">
      <c r="A5" t="s">
        <v>12</v>
      </c>
      <c r="B5">
        <v>2000</v>
      </c>
      <c r="N5" s="11"/>
      <c r="O5" s="11"/>
      <c r="P5" s="2" t="s">
        <v>38</v>
      </c>
      <c r="Q5" s="2">
        <v>1.7999999999999999E-2</v>
      </c>
      <c r="R5" s="2">
        <f>$G$11/10*Q5</f>
        <v>445.79393482500001</v>
      </c>
      <c r="S5" s="2" t="s">
        <v>44</v>
      </c>
      <c r="T5">
        <f>R5*[1]施工机械台班能源用量!$H$6</f>
        <v>85.215182325901495</v>
      </c>
    </row>
    <row r="6" spans="1:20">
      <c r="A6" t="s">
        <v>13</v>
      </c>
      <c r="B6">
        <v>800</v>
      </c>
      <c r="N6" s="11"/>
      <c r="O6" s="11"/>
      <c r="P6" s="2" t="s">
        <v>39</v>
      </c>
      <c r="Q6" s="2">
        <v>0.62</v>
      </c>
      <c r="R6" s="2">
        <f t="shared" ref="R6:R7" si="0">$G$11/10*Q6</f>
        <v>15355.124421750001</v>
      </c>
      <c r="S6" s="2" t="s">
        <v>45</v>
      </c>
    </row>
    <row r="7" spans="1:20">
      <c r="A7" t="s">
        <v>14</v>
      </c>
      <c r="B7">
        <v>3900</v>
      </c>
      <c r="N7" s="11"/>
      <c r="O7" s="11"/>
      <c r="P7" s="2" t="s">
        <v>40</v>
      </c>
      <c r="Q7" s="2">
        <v>5.8000000000000003E-2</v>
      </c>
      <c r="R7" s="2">
        <f t="shared" si="0"/>
        <v>1436.4471233250001</v>
      </c>
      <c r="S7" s="2" t="s">
        <v>44</v>
      </c>
      <c r="T7">
        <f>R7*[1]施工机械台班能源用量!$H$18</f>
        <v>247.29836668426438</v>
      </c>
    </row>
    <row r="8" spans="1:20">
      <c r="A8" t="s">
        <v>15</v>
      </c>
      <c r="B8">
        <f>L42+L85+L115-B19</f>
        <v>9963.182499999999</v>
      </c>
      <c r="N8" s="11"/>
      <c r="O8" s="11" t="s">
        <v>41</v>
      </c>
      <c r="P8" s="2" t="s">
        <v>42</v>
      </c>
      <c r="Q8" s="2">
        <v>0.02</v>
      </c>
      <c r="R8" s="2">
        <f>$G$14/10*Q8</f>
        <v>169.58182725000003</v>
      </c>
      <c r="S8" s="2" t="s">
        <v>44</v>
      </c>
      <c r="T8">
        <f>R8*[1]施工机械台班能源用量!$H$8</f>
        <v>22.099617210223428</v>
      </c>
    </row>
    <row r="9" spans="1:20" ht="28.5">
      <c r="A9" t="s">
        <v>16</v>
      </c>
      <c r="B9">
        <f>L42+L85+L115-B18</f>
        <v>12135.612499999999</v>
      </c>
      <c r="N9" s="11"/>
      <c r="O9" s="11"/>
      <c r="P9" s="3" t="s">
        <v>36</v>
      </c>
      <c r="Q9" s="2">
        <v>2E-3</v>
      </c>
      <c r="R9" s="2">
        <f t="shared" ref="R9:R10" si="1">$G$14/10*Q9</f>
        <v>16.958182725000004</v>
      </c>
      <c r="S9" s="2" t="s">
        <v>44</v>
      </c>
      <c r="T9">
        <f>R9*[1]施工机械台班能源用量!$H$3</f>
        <v>2.9071673396452238</v>
      </c>
    </row>
    <row r="10" spans="1:20">
      <c r="A10" t="s">
        <v>21</v>
      </c>
      <c r="B10">
        <f>B9*5.4-2547.55*1.5</f>
        <v>61710.982500000006</v>
      </c>
      <c r="C10" t="s">
        <v>10</v>
      </c>
      <c r="N10" s="11"/>
      <c r="O10" s="11"/>
      <c r="P10" s="2" t="s">
        <v>43</v>
      </c>
      <c r="Q10" s="2">
        <v>8.0000000000000002E-3</v>
      </c>
      <c r="R10" s="2">
        <f t="shared" si="1"/>
        <v>67.832730900000016</v>
      </c>
      <c r="S10" s="2" t="s">
        <v>44</v>
      </c>
      <c r="T10">
        <f>R10*[1]施工机械台班能源用量!$H$19</f>
        <v>5.8738750650263611</v>
      </c>
    </row>
    <row r="11" spans="1:20">
      <c r="A11" t="s">
        <v>17</v>
      </c>
      <c r="B11">
        <f>(B1-B18)*(B7+B6+B4)/1000</f>
        <v>105711.00862500002</v>
      </c>
      <c r="C11" t="s">
        <v>10</v>
      </c>
      <c r="F11" t="s">
        <v>25</v>
      </c>
      <c r="G11">
        <f>B11+B21</f>
        <v>247663.29712500001</v>
      </c>
      <c r="T11">
        <f>SUM(T7:T10)</f>
        <v>278.17902629915943</v>
      </c>
    </row>
    <row r="14" spans="1:20">
      <c r="A14" t="s">
        <v>3</v>
      </c>
      <c r="B14">
        <v>2950</v>
      </c>
      <c r="F14" t="s">
        <v>23</v>
      </c>
      <c r="G14">
        <f>B21+B11-B20-B10</f>
        <v>84790.913625000016</v>
      </c>
    </row>
    <row r="15" spans="1:20">
      <c r="A15" t="s">
        <v>4</v>
      </c>
      <c r="B15">
        <v>4250</v>
      </c>
    </row>
    <row r="16" spans="1:20">
      <c r="A16" t="s">
        <v>5</v>
      </c>
      <c r="B16">
        <v>800</v>
      </c>
    </row>
    <row r="17" spans="1:3">
      <c r="A17" t="s">
        <v>6</v>
      </c>
      <c r="B17">
        <v>9300</v>
      </c>
    </row>
    <row r="18" spans="1:3">
      <c r="A18" t="s">
        <v>7</v>
      </c>
      <c r="B18">
        <v>10877.57</v>
      </c>
    </row>
    <row r="19" spans="1:3">
      <c r="A19" t="s">
        <v>8</v>
      </c>
      <c r="B19">
        <f>B17+B16+B14</f>
        <v>13050</v>
      </c>
    </row>
    <row r="20" spans="1:3">
      <c r="A20" t="s">
        <v>22</v>
      </c>
      <c r="B20">
        <f>B18*9.3</f>
        <v>101161.401</v>
      </c>
    </row>
    <row r="21" spans="1:3">
      <c r="A21" t="s">
        <v>9</v>
      </c>
      <c r="B21">
        <f>B18*B19/1000</f>
        <v>141952.2885</v>
      </c>
      <c r="C21" t="s">
        <v>10</v>
      </c>
    </row>
    <row r="42" spans="12:12">
      <c r="L42">
        <f>(198300+4200)*(8400+9200+1000+9105)/1000000</f>
        <v>5610.2624999999998</v>
      </c>
    </row>
    <row r="85" spans="12:12">
      <c r="L85">
        <f>(8400*10+13500+8100+8700+7500)*(132500+5700-11500*2-6600)/1000000</f>
        <v>13227.48</v>
      </c>
    </row>
    <row r="115" spans="12:12">
      <c r="L115">
        <f>(8400*8+8700+2000)*(8400*5+9600+2000)/1000000</f>
        <v>4175.4399999999996</v>
      </c>
    </row>
  </sheetData>
  <mergeCells count="4">
    <mergeCell ref="N1:S1"/>
    <mergeCell ref="N3:N10"/>
    <mergeCell ref="O4:O7"/>
    <mergeCell ref="O8:O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K13" sqref="K13"/>
    </sheetView>
  </sheetViews>
  <sheetFormatPr defaultRowHeight="14.25"/>
  <sheetData>
    <row r="1" spans="1:7">
      <c r="A1" s="9" t="s">
        <v>46</v>
      </c>
      <c r="B1" s="9"/>
      <c r="C1" s="9"/>
      <c r="D1" s="9"/>
      <c r="E1" s="9"/>
      <c r="F1" s="9"/>
    </row>
    <row r="2" spans="1:7">
      <c r="A2" s="1" t="s">
        <v>27</v>
      </c>
      <c r="B2" s="1" t="s">
        <v>28</v>
      </c>
      <c r="C2" s="1" t="s">
        <v>29</v>
      </c>
      <c r="D2" s="1" t="s">
        <v>33</v>
      </c>
      <c r="E2" s="1" t="s">
        <v>34</v>
      </c>
      <c r="F2" s="1" t="s">
        <v>30</v>
      </c>
      <c r="G2" s="8" t="s">
        <v>100</v>
      </c>
    </row>
    <row r="3" spans="1:7">
      <c r="A3" s="11" t="s">
        <v>47</v>
      </c>
      <c r="B3" s="11" t="s">
        <v>48</v>
      </c>
      <c r="C3" s="3" t="s">
        <v>51</v>
      </c>
      <c r="D3" s="2">
        <v>1.125</v>
      </c>
      <c r="E3" s="2">
        <f>[2]Sheet6!$N$4/10*D3</f>
        <v>1915.4598031189266</v>
      </c>
      <c r="F3" s="2" t="s">
        <v>10</v>
      </c>
      <c r="G3">
        <f>E3*[1]建筑材料碳排放因子!$D$36</f>
        <v>321.79724692397969</v>
      </c>
    </row>
    <row r="4" spans="1:7" ht="57">
      <c r="A4" s="11"/>
      <c r="B4" s="11"/>
      <c r="C4" s="3" t="s">
        <v>52</v>
      </c>
      <c r="D4" s="2">
        <v>4.87</v>
      </c>
      <c r="E4" s="2">
        <f>[2]Sheet6!$N$4/10*D4</f>
        <v>8291.8126588348205</v>
      </c>
      <c r="F4" s="2" t="s">
        <v>35</v>
      </c>
      <c r="G4">
        <f>E4*[1]施工机械台班能源用量!$H$21</f>
        <v>19.553752612064272</v>
      </c>
    </row>
    <row r="5" spans="1:7" ht="42.75">
      <c r="A5" s="11"/>
      <c r="B5" s="11"/>
      <c r="C5" s="3" t="s">
        <v>53</v>
      </c>
      <c r="D5" s="2">
        <v>5.5E-2</v>
      </c>
      <c r="E5" s="2">
        <f>[2]Sheet6!$N$4/10*D5</f>
        <v>93.644701485814196</v>
      </c>
      <c r="F5" s="2" t="s">
        <v>54</v>
      </c>
      <c r="G5">
        <f>E5*[1]施工机械台班能源用量!$H$23</f>
        <v>20.314421694683489</v>
      </c>
    </row>
    <row r="6" spans="1:7" ht="42.75">
      <c r="A6" s="11"/>
      <c r="B6" s="11" t="s">
        <v>49</v>
      </c>
      <c r="C6" s="3" t="s">
        <v>55</v>
      </c>
      <c r="D6" s="2">
        <v>0.08</v>
      </c>
      <c r="E6" s="2">
        <f>[2]Sheet6!$N$3*D6</f>
        <v>238.54319415710833</v>
      </c>
      <c r="F6" s="2" t="s">
        <v>44</v>
      </c>
      <c r="G6">
        <f>E6*[1]施工机械台班能源用量!$H$26</f>
        <v>1.6735343673723464</v>
      </c>
    </row>
    <row r="7" spans="1:7">
      <c r="A7" s="11"/>
      <c r="B7" s="11"/>
      <c r="C7" s="2" t="s">
        <v>57</v>
      </c>
      <c r="D7" s="2">
        <v>0.09</v>
      </c>
      <c r="E7" s="2">
        <f>[2]Sheet6!$N$3*D7</f>
        <v>268.36109342674689</v>
      </c>
      <c r="F7" s="2" t="s">
        <v>44</v>
      </c>
      <c r="G7">
        <f>E7*[1]施工机械台班能源用量!$H$27</f>
        <v>5.0786142724146108</v>
      </c>
    </row>
    <row r="8" spans="1:7">
      <c r="A8" s="11"/>
      <c r="B8" s="11"/>
      <c r="C8" s="2" t="s">
        <v>56</v>
      </c>
      <c r="D8" s="2">
        <v>0.23</v>
      </c>
      <c r="E8" s="2">
        <f>[2]Sheet6!$N$3*D8</f>
        <v>685.81168320168649</v>
      </c>
      <c r="F8" s="2" t="s">
        <v>35</v>
      </c>
      <c r="G8">
        <f>E8*[1]施工机械台班能源用量!$H$28</f>
        <v>5.1752995562438953</v>
      </c>
    </row>
    <row r="9" spans="1:7">
      <c r="A9" s="11"/>
      <c r="B9" s="11"/>
      <c r="C9" s="2" t="s">
        <v>58</v>
      </c>
      <c r="D9" s="2">
        <v>0.05</v>
      </c>
      <c r="E9" s="2">
        <f>[2]Sheet6!$N$3*D9</f>
        <v>149.08949634819271</v>
      </c>
      <c r="F9" s="2" t="s">
        <v>44</v>
      </c>
      <c r="G9">
        <f>E9*[1]施工机械台班能源用量!$H$29</f>
        <v>10.723276933793397</v>
      </c>
    </row>
    <row r="10" spans="1:7">
      <c r="A10" s="11"/>
      <c r="B10" s="11"/>
      <c r="C10" s="2" t="s">
        <v>98</v>
      </c>
      <c r="D10" s="2">
        <v>0.34</v>
      </c>
      <c r="E10" s="2">
        <f>[2]Sheet6!$N$3*D10</f>
        <v>1013.8085751677105</v>
      </c>
      <c r="F10" s="2" t="s">
        <v>54</v>
      </c>
      <c r="G10">
        <f>E10*[1]施工机械台班能源用量!$H$30</f>
        <v>57.695097315161647</v>
      </c>
    </row>
    <row r="11" spans="1:7">
      <c r="A11" s="11"/>
      <c r="B11" s="11"/>
      <c r="C11" s="2" t="s">
        <v>60</v>
      </c>
      <c r="D11" s="2">
        <v>3.4000000000000002E-2</v>
      </c>
      <c r="E11" s="2">
        <f>[2]Sheet6!$N$3*D11</f>
        <v>101.38085751677104</v>
      </c>
      <c r="F11" s="2"/>
      <c r="G11">
        <f>E11*[1]施工机械台班能源用量!$H$30</f>
        <v>5.7695097315161643</v>
      </c>
    </row>
    <row r="12" spans="1:7">
      <c r="A12" s="11"/>
      <c r="B12" s="11" t="s">
        <v>50</v>
      </c>
      <c r="C12" s="2" t="s">
        <v>61</v>
      </c>
      <c r="D12" s="2">
        <v>5.5E-2</v>
      </c>
      <c r="E12" s="2">
        <f>[3]Sheet1!$G$253/100*D12</f>
        <v>113.23893720199996</v>
      </c>
      <c r="F12" s="2" t="s">
        <v>44</v>
      </c>
      <c r="G12">
        <f>E12*[1]施工机械台班能源用量!$H$32</f>
        <v>1.6022403702585379</v>
      </c>
    </row>
    <row r="13" spans="1:7" ht="28.5" customHeight="1">
      <c r="A13" s="11"/>
      <c r="B13" s="11"/>
      <c r="C13" s="10" t="s">
        <v>62</v>
      </c>
      <c r="D13" s="11">
        <v>2E-3</v>
      </c>
      <c r="E13" s="11">
        <f>[3]Sheet1!$H$204/100*D13</f>
        <v>0.53245358981818203</v>
      </c>
      <c r="F13" s="11" t="s">
        <v>44</v>
      </c>
      <c r="G13">
        <f>E13*[1]施工机械台班能源用量!$H$16</f>
        <v>5.3701330657251307E-2</v>
      </c>
    </row>
    <row r="14" spans="1:7">
      <c r="A14" s="11"/>
      <c r="B14" s="11"/>
      <c r="C14" s="10"/>
      <c r="D14" s="11"/>
      <c r="E14" s="11"/>
      <c r="F14" s="11"/>
    </row>
    <row r="15" spans="1:7">
      <c r="G15">
        <f>SUM(G3:G14)</f>
        <v>449.43669510814527</v>
      </c>
    </row>
  </sheetData>
  <mergeCells count="9">
    <mergeCell ref="A1:F1"/>
    <mergeCell ref="A3:A14"/>
    <mergeCell ref="B12:B14"/>
    <mergeCell ref="B3:B5"/>
    <mergeCell ref="B6:B11"/>
    <mergeCell ref="C13:C14"/>
    <mergeCell ref="D13:D14"/>
    <mergeCell ref="E13:E14"/>
    <mergeCell ref="F13:F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H3" sqref="H3"/>
    </sheetView>
  </sheetViews>
  <sheetFormatPr defaultRowHeight="14.25"/>
  <cols>
    <col min="2" max="2" width="18.75" customWidth="1"/>
  </cols>
  <sheetData>
    <row r="1" spans="1:9">
      <c r="A1" s="9" t="s">
        <v>63</v>
      </c>
      <c r="B1" s="9"/>
      <c r="C1" s="9"/>
      <c r="D1" s="9"/>
      <c r="E1" s="9"/>
      <c r="F1" s="9"/>
    </row>
    <row r="2" spans="1:9">
      <c r="A2" s="4" t="s">
        <v>27</v>
      </c>
      <c r="B2" s="4" t="s">
        <v>28</v>
      </c>
      <c r="C2" s="4" t="s">
        <v>29</v>
      </c>
      <c r="D2" s="4" t="s">
        <v>33</v>
      </c>
      <c r="E2" s="4" t="s">
        <v>34</v>
      </c>
      <c r="F2" s="4" t="s">
        <v>30</v>
      </c>
      <c r="G2" s="8" t="s">
        <v>100</v>
      </c>
    </row>
    <row r="3" spans="1:9">
      <c r="A3" s="11" t="s">
        <v>99</v>
      </c>
      <c r="B3" s="11" t="s">
        <v>64</v>
      </c>
      <c r="C3" s="3" t="s">
        <v>51</v>
      </c>
      <c r="D3" s="2">
        <v>0.1</v>
      </c>
      <c r="E3" s="2">
        <f>[2]Sheet6!$L$5/10*D3</f>
        <v>98.250384838524113</v>
      </c>
      <c r="F3" s="2" t="s">
        <v>10</v>
      </c>
    </row>
    <row r="4" spans="1:9" ht="57">
      <c r="A4" s="11"/>
      <c r="B4" s="11"/>
      <c r="C4" s="3" t="s">
        <v>66</v>
      </c>
      <c r="D4" s="2">
        <v>0.108</v>
      </c>
      <c r="E4" s="2">
        <f>[2]Sheet6!$L$5/10*D4</f>
        <v>106.11041562560604</v>
      </c>
      <c r="F4" s="2" t="s">
        <v>35</v>
      </c>
      <c r="G4">
        <f>E4*[1]施工机械台班能源用量!$H$24</f>
        <v>1.7835113466194883</v>
      </c>
      <c r="I4" t="s">
        <v>67</v>
      </c>
    </row>
    <row r="5" spans="1:9" ht="42.75">
      <c r="A5" s="11"/>
      <c r="B5" s="11"/>
      <c r="C5" s="3" t="s">
        <v>73</v>
      </c>
      <c r="D5" s="2">
        <v>5.5E-2</v>
      </c>
      <c r="E5" s="2">
        <f>[2]Sheet6!$L$5/10*D5</f>
        <v>54.037711661188261</v>
      </c>
      <c r="F5" s="2" t="s">
        <v>35</v>
      </c>
    </row>
    <row r="6" spans="1:9" ht="42.75">
      <c r="A6" s="11"/>
      <c r="B6" s="11" t="s">
        <v>65</v>
      </c>
      <c r="C6" s="3" t="s">
        <v>68</v>
      </c>
      <c r="D6" s="2">
        <v>0.08</v>
      </c>
      <c r="E6" s="2">
        <f>[2]Sheet6!$N$3*D6*0.15</f>
        <v>35.78147912356625</v>
      </c>
      <c r="F6" s="2" t="s">
        <v>44</v>
      </c>
      <c r="G6">
        <f>E6*[1]施工机械台班能源用量!$H$26</f>
        <v>0.25103015510585197</v>
      </c>
    </row>
    <row r="7" spans="1:9">
      <c r="A7" s="11"/>
      <c r="B7" s="11"/>
      <c r="C7" s="2" t="s">
        <v>57</v>
      </c>
      <c r="D7" s="2">
        <v>0.09</v>
      </c>
      <c r="E7" s="2">
        <f>[2]Sheet6!$N$3*D7*0.15</f>
        <v>40.254164014012034</v>
      </c>
      <c r="F7" s="2" t="s">
        <v>44</v>
      </c>
      <c r="G7">
        <f>E7*[1]施工机械台班能源用量!$H$27</f>
        <v>0.7617921408621916</v>
      </c>
    </row>
    <row r="8" spans="1:9">
      <c r="A8" s="11"/>
      <c r="B8" s="11"/>
      <c r="C8" s="2" t="s">
        <v>56</v>
      </c>
      <c r="D8" s="2">
        <v>0.23</v>
      </c>
      <c r="E8" s="2">
        <f>[2]Sheet6!$N$3*D8*0.15</f>
        <v>102.87175248025297</v>
      </c>
      <c r="F8" s="2" t="s">
        <v>35</v>
      </c>
      <c r="G8">
        <f>E8*[1]施工机械台班能源用量!$H$28</f>
        <v>0.77629493343658418</v>
      </c>
    </row>
    <row r="9" spans="1:9">
      <c r="A9" s="11"/>
      <c r="B9" s="11"/>
      <c r="C9" s="2" t="s">
        <v>58</v>
      </c>
      <c r="D9" s="2">
        <v>0.05</v>
      </c>
      <c r="E9" s="2">
        <f>[2]Sheet6!$N$3*D9*0.15</f>
        <v>22.363424452228905</v>
      </c>
      <c r="F9" s="2" t="s">
        <v>44</v>
      </c>
      <c r="G9">
        <f>E9*[1]施工机械台班能源用量!$H$29</f>
        <v>1.6084915400690094</v>
      </c>
    </row>
    <row r="10" spans="1:9">
      <c r="A10" s="11"/>
      <c r="B10" s="11"/>
      <c r="C10" s="2" t="s">
        <v>59</v>
      </c>
      <c r="D10" s="2">
        <v>0.34</v>
      </c>
      <c r="E10" s="2">
        <f>[2]Sheet6!$N$3*D10*0.15</f>
        <v>152.07128627515658</v>
      </c>
      <c r="F10" s="2" t="s">
        <v>35</v>
      </c>
      <c r="G10">
        <f>E10*[1]施工机械台班能源用量!$H$30</f>
        <v>8.6542645972742474</v>
      </c>
    </row>
    <row r="11" spans="1:9">
      <c r="A11" s="11"/>
      <c r="B11" s="11"/>
      <c r="C11" s="2" t="s">
        <v>60</v>
      </c>
      <c r="D11" s="2">
        <v>3.4000000000000002E-2</v>
      </c>
      <c r="E11" s="2">
        <f>[2]Sheet6!$N$3*D11*0.15</f>
        <v>15.207128627515656</v>
      </c>
      <c r="F11" s="2" t="s">
        <v>101</v>
      </c>
      <c r="G11">
        <f>E11*[1]施工机械台班能源用量!$H$31</f>
        <v>6.0067929971757437E-2</v>
      </c>
    </row>
    <row r="12" spans="1:9">
      <c r="A12" s="2"/>
      <c r="B12" s="11"/>
      <c r="C12" s="2"/>
      <c r="D12" s="2"/>
      <c r="E12" s="2"/>
      <c r="F12" s="2"/>
      <c r="G12">
        <f>SUM(G6:G11)</f>
        <v>12.111941296719641</v>
      </c>
      <c r="H12">
        <f>G12*0.5*0.2055</f>
        <v>1.244501968237943</v>
      </c>
    </row>
    <row r="13" spans="1:9">
      <c r="A13" s="2"/>
      <c r="B13" s="11"/>
      <c r="C13" s="10"/>
      <c r="D13" s="11"/>
      <c r="E13" s="11"/>
      <c r="F13" s="11"/>
    </row>
    <row r="14" spans="1:9">
      <c r="A14" s="2"/>
      <c r="B14" s="11"/>
      <c r="C14" s="10"/>
      <c r="D14" s="11"/>
      <c r="E14" s="11"/>
      <c r="F14" s="11"/>
    </row>
  </sheetData>
  <mergeCells count="9">
    <mergeCell ref="A1:F1"/>
    <mergeCell ref="B3:B5"/>
    <mergeCell ref="B6:B11"/>
    <mergeCell ref="B12:B14"/>
    <mergeCell ref="C13:C14"/>
    <mergeCell ref="D13:D14"/>
    <mergeCell ref="E13:E14"/>
    <mergeCell ref="F13:F14"/>
    <mergeCell ref="A3:A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40" sqref="E40"/>
    </sheetView>
  </sheetViews>
  <sheetFormatPr defaultRowHeight="14.25"/>
  <cols>
    <col min="7" max="7" width="19.125" customWidth="1"/>
  </cols>
  <sheetData>
    <row r="1" spans="1:8">
      <c r="A1" s="9" t="s">
        <v>69</v>
      </c>
      <c r="B1" s="9"/>
      <c r="C1" s="9"/>
      <c r="D1" s="9"/>
      <c r="E1" s="9"/>
      <c r="F1" s="9"/>
    </row>
    <row r="2" spans="1:8">
      <c r="A2" s="5" t="s">
        <v>27</v>
      </c>
      <c r="B2" s="5" t="s">
        <v>28</v>
      </c>
      <c r="C2" s="5" t="s">
        <v>29</v>
      </c>
      <c r="D2" s="5" t="s">
        <v>33</v>
      </c>
      <c r="E2" s="5" t="s">
        <v>34</v>
      </c>
      <c r="F2" s="5" t="s">
        <v>30</v>
      </c>
      <c r="G2" s="8" t="s">
        <v>100</v>
      </c>
    </row>
    <row r="3" spans="1:8">
      <c r="A3" s="11" t="s">
        <v>46</v>
      </c>
      <c r="B3" s="11" t="s">
        <v>70</v>
      </c>
      <c r="C3" s="10" t="s">
        <v>51</v>
      </c>
      <c r="D3" s="11">
        <f>0.911*0.15+2.595*0.7+0.722*0.08+2.521*0.07</f>
        <v>2.1873800000000001</v>
      </c>
      <c r="E3" s="11">
        <f>(1-[4]分部分项工程计价表!$L$27)*[2]Sheet6!$L$4/10*D3</f>
        <v>5201.1264653691487</v>
      </c>
      <c r="F3" s="11" t="s">
        <v>10</v>
      </c>
    </row>
    <row r="4" spans="1:8">
      <c r="A4" s="11"/>
      <c r="B4" s="11"/>
      <c r="C4" s="10"/>
      <c r="D4" s="11"/>
      <c r="E4" s="11"/>
      <c r="F4" s="11"/>
      <c r="G4">
        <f>E3*[1]建筑材料碳排放因子!$D$36</f>
        <v>873.789246182017</v>
      </c>
      <c r="H4">
        <f>G4*0.5*0.2428</f>
        <v>106.07801448649685</v>
      </c>
    </row>
    <row r="5" spans="1:8">
      <c r="A5" s="11"/>
      <c r="B5" s="11"/>
      <c r="C5" s="10"/>
      <c r="D5" s="11"/>
      <c r="E5" s="11"/>
      <c r="F5" s="11"/>
    </row>
    <row r="6" spans="1:8">
      <c r="A6" s="11"/>
      <c r="B6" s="11" t="s">
        <v>72</v>
      </c>
      <c r="C6" s="11" t="s">
        <v>73</v>
      </c>
      <c r="D6" s="11">
        <v>5.5E-2</v>
      </c>
      <c r="E6" s="11">
        <f>(1-[4]分部分项工程计价表!$L$27)*[2]Sheet6!$L$4/10*D6</f>
        <v>130.77835382754856</v>
      </c>
      <c r="F6" s="11" t="s">
        <v>74</v>
      </c>
      <c r="G6" s="9">
        <f>E6*[1]施工机械台班能源用量!$H$23</f>
        <v>28.369855272503539</v>
      </c>
      <c r="H6" t="s">
        <v>71</v>
      </c>
    </row>
    <row r="7" spans="1:8">
      <c r="A7" s="11"/>
      <c r="B7" s="11"/>
      <c r="C7" s="11"/>
      <c r="D7" s="11"/>
      <c r="E7" s="11"/>
      <c r="F7" s="11"/>
      <c r="G7" s="9"/>
    </row>
    <row r="8" spans="1:8">
      <c r="A8" s="11"/>
      <c r="B8" s="11"/>
      <c r="C8" s="11"/>
      <c r="D8" s="11"/>
      <c r="E8" s="11"/>
      <c r="F8" s="11"/>
      <c r="G8" s="9"/>
    </row>
    <row r="9" spans="1:8">
      <c r="A9" s="11"/>
      <c r="B9" s="11"/>
      <c r="C9" s="11"/>
      <c r="D9" s="11"/>
      <c r="E9" s="11"/>
      <c r="F9" s="11"/>
      <c r="G9" s="9"/>
      <c r="H9">
        <f>G6*0.5*0.4</f>
        <v>5.6739710545007078</v>
      </c>
    </row>
    <row r="10" spans="1:8">
      <c r="A10" s="11"/>
      <c r="B10" s="11"/>
      <c r="C10" s="11"/>
      <c r="D10" s="11"/>
      <c r="E10" s="11"/>
      <c r="F10" s="11"/>
      <c r="G10" s="9"/>
    </row>
    <row r="11" spans="1:8">
      <c r="A11" s="11"/>
      <c r="B11" s="11"/>
      <c r="C11" s="11"/>
      <c r="D11" s="11"/>
      <c r="E11" s="11"/>
      <c r="F11" s="11"/>
      <c r="G11" s="9"/>
    </row>
    <row r="12" spans="1:8">
      <c r="A12" s="11"/>
      <c r="B12" s="11" t="s">
        <v>75</v>
      </c>
      <c r="C12" s="2" t="s">
        <v>76</v>
      </c>
      <c r="D12" s="2">
        <f>3.78*0.7+3.66*0.07+3.75*0.15+3.63*0.08</f>
        <v>3.7551000000000001</v>
      </c>
      <c r="E12" s="2">
        <f>(1-[4]分部分项工程计价表!$L$27)*[2]Sheet6!$L$4/10*D12</f>
        <v>8928.8326628695922</v>
      </c>
      <c r="F12" s="2" t="s">
        <v>78</v>
      </c>
      <c r="G12">
        <f>E12*[1]施工机械台班能源用量!$H$21</f>
        <v>21.055973185579074</v>
      </c>
      <c r="H12">
        <f>G12*0.5*0.2055</f>
        <v>2.1635012448182498</v>
      </c>
    </row>
    <row r="13" spans="1:8">
      <c r="A13" s="11"/>
      <c r="B13" s="11"/>
      <c r="C13" s="10" t="s">
        <v>77</v>
      </c>
      <c r="D13" s="11">
        <v>0.11</v>
      </c>
      <c r="E13" s="11">
        <f>(1-[4]分部分项工程计价表!$L$27)*[2]Sheet6!$L$4/10*0.7*D13</f>
        <v>183.08969535856798</v>
      </c>
      <c r="F13" s="11" t="s">
        <v>44</v>
      </c>
      <c r="G13" s="9">
        <f>E13*[1]施工机械台班能源用量!$H$20</f>
        <v>2.4977438618546168</v>
      </c>
      <c r="H13">
        <f t="shared" ref="H13:H14" si="0">G13*0.5*0.2055</f>
        <v>0.25664318180556184</v>
      </c>
    </row>
    <row r="14" spans="1:8">
      <c r="A14" s="11"/>
      <c r="B14" s="11"/>
      <c r="C14" s="10"/>
      <c r="D14" s="11"/>
      <c r="E14" s="11"/>
      <c r="F14" s="11"/>
      <c r="G14" s="9"/>
      <c r="H14">
        <f t="shared" si="0"/>
        <v>0</v>
      </c>
    </row>
    <row r="15" spans="1:8">
      <c r="G15">
        <f>SUM(G3:G14)</f>
        <v>925.71281850195419</v>
      </c>
    </row>
  </sheetData>
  <mergeCells count="19">
    <mergeCell ref="F3:F5"/>
    <mergeCell ref="D6:D11"/>
    <mergeCell ref="E6:E11"/>
    <mergeCell ref="G6:G11"/>
    <mergeCell ref="G13:G14"/>
    <mergeCell ref="F6:F11"/>
    <mergeCell ref="C6:C11"/>
    <mergeCell ref="A1:F1"/>
    <mergeCell ref="A3:A14"/>
    <mergeCell ref="B3:B5"/>
    <mergeCell ref="B6:B11"/>
    <mergeCell ref="B12:B14"/>
    <mergeCell ref="C13:C14"/>
    <mergeCell ref="D13:D14"/>
    <mergeCell ref="E13:E14"/>
    <mergeCell ref="F13:F14"/>
    <mergeCell ref="C3:C5"/>
    <mergeCell ref="D3:D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5" sqref="J15"/>
    </sheetView>
  </sheetViews>
  <sheetFormatPr defaultRowHeight="14.25"/>
  <cols>
    <col min="3" max="3" width="14.5" customWidth="1"/>
  </cols>
  <sheetData>
    <row r="1" spans="1:10">
      <c r="A1" s="9" t="s">
        <v>79</v>
      </c>
      <c r="B1" s="9"/>
      <c r="C1" s="9"/>
      <c r="D1" s="9"/>
      <c r="E1" s="9"/>
      <c r="F1" s="9"/>
    </row>
    <row r="2" spans="1:10">
      <c r="A2" s="7" t="s">
        <v>27</v>
      </c>
      <c r="B2" s="7" t="s">
        <v>28</v>
      </c>
      <c r="C2" s="7" t="s">
        <v>29</v>
      </c>
      <c r="D2" s="7" t="s">
        <v>33</v>
      </c>
      <c r="E2" s="7" t="s">
        <v>34</v>
      </c>
      <c r="F2" s="7" t="s">
        <v>30</v>
      </c>
      <c r="G2" s="8" t="s">
        <v>100</v>
      </c>
    </row>
    <row r="3" spans="1:10" ht="28.5">
      <c r="A3" s="11" t="s">
        <v>80</v>
      </c>
      <c r="B3" s="11" t="s">
        <v>81</v>
      </c>
      <c r="C3" s="6" t="s">
        <v>82</v>
      </c>
      <c r="D3" s="7">
        <v>0.27</v>
      </c>
      <c r="E3" s="7">
        <f>[2]Sheet6!$L$3*(1-[4]分部分项工程计价表!$M$27)*0.4*D3</f>
        <v>413.0457232768245</v>
      </c>
      <c r="F3" s="11" t="s">
        <v>35</v>
      </c>
      <c r="G3">
        <f>E3*[1]施工机械台班能源用量!$H$26</f>
        <v>2.8977821632784373</v>
      </c>
      <c r="H3">
        <f>G3*0.5*0.2055</f>
        <v>0.29774711727685943</v>
      </c>
    </row>
    <row r="4" spans="1:10" ht="28.5">
      <c r="A4" s="11"/>
      <c r="B4" s="11"/>
      <c r="C4" s="6" t="s">
        <v>83</v>
      </c>
      <c r="D4" s="7">
        <v>0.1</v>
      </c>
      <c r="E4" s="7">
        <f>[2]Sheet6!$L$3*(1-[4]分部分项工程计价表!$M$27)*D4</f>
        <v>382.44974377483749</v>
      </c>
      <c r="F4" s="11"/>
      <c r="G4">
        <f>E4*[1]施工机械台班能源用量!$H$27</f>
        <v>7.2376912108028204</v>
      </c>
      <c r="H4">
        <f t="shared" ref="H4:H15" si="0">G4*0.5*0.2055</f>
        <v>0.7436727719099897</v>
      </c>
    </row>
    <row r="5" spans="1:10" ht="28.5">
      <c r="A5" s="11"/>
      <c r="B5" s="11"/>
      <c r="C5" s="6" t="s">
        <v>84</v>
      </c>
      <c r="D5" s="7">
        <v>0.23</v>
      </c>
      <c r="E5" s="7">
        <f>[2]Sheet6!$L$3*(1-[4]分部分项工程计价表!$M$27)*D5</f>
        <v>879.63441068212614</v>
      </c>
      <c r="F5" s="11"/>
      <c r="G5">
        <f>E5*[1]施工机械台班能源用量!$H$28</f>
        <v>6.6379323752658888</v>
      </c>
      <c r="H5">
        <f t="shared" si="0"/>
        <v>0.68204755155857</v>
      </c>
    </row>
    <row r="6" spans="1:10">
      <c r="A6" s="11"/>
      <c r="B6" s="11" t="s">
        <v>85</v>
      </c>
      <c r="C6" s="7" t="s">
        <v>86</v>
      </c>
      <c r="D6" s="7">
        <v>0.45</v>
      </c>
      <c r="E6" s="7">
        <f>[2]Sheet6!$L$3*(1-[4]分部分项工程计价表!$M$27)*D6</f>
        <v>1721.0238469867686</v>
      </c>
      <c r="F6" s="7" t="s">
        <v>74</v>
      </c>
      <c r="G6">
        <f>E6*[1]施工机械台班能源用量!$H$30</f>
        <v>97.942196155906004</v>
      </c>
      <c r="H6">
        <f t="shared" si="0"/>
        <v>10.063560655019341</v>
      </c>
    </row>
    <row r="7" spans="1:10">
      <c r="A7" s="11"/>
      <c r="B7" s="11"/>
      <c r="C7" s="7" t="s">
        <v>87</v>
      </c>
      <c r="D7" s="7">
        <v>0.11</v>
      </c>
      <c r="E7" s="7">
        <f>[2]Sheet6!$L$3*(1-[4]分部分项工程计价表!$M$27)*D7</f>
        <v>420.69471815232117</v>
      </c>
      <c r="F7" s="7" t="s">
        <v>35</v>
      </c>
      <c r="G7">
        <f>E7*[1]施工机械台班能源用量!$H$29</f>
        <v>30.258509672577517</v>
      </c>
      <c r="H7">
        <f t="shared" si="0"/>
        <v>3.1090618688573399</v>
      </c>
    </row>
    <row r="8" spans="1:10">
      <c r="A8" s="11"/>
      <c r="B8" s="11"/>
      <c r="C8" s="7" t="s">
        <v>88</v>
      </c>
      <c r="D8" s="7">
        <v>4.4999999999999998E-2</v>
      </c>
      <c r="E8" s="7">
        <f>[2]Sheet6!$L$3*(1-[4]分部分项工程计价表!$M$27)*D8</f>
        <v>172.10238469867684</v>
      </c>
      <c r="F8" s="7" t="s">
        <v>35</v>
      </c>
      <c r="G8">
        <f>E8*[1]施工机械台班能源用量!$H$31</f>
        <v>0.67980183802400318</v>
      </c>
      <c r="H8">
        <f t="shared" si="0"/>
        <v>6.9849638856966323E-2</v>
      </c>
    </row>
    <row r="9" spans="1:10">
      <c r="A9" s="11"/>
      <c r="B9" s="11"/>
      <c r="C9" s="11" t="s">
        <v>89</v>
      </c>
      <c r="D9" s="11">
        <v>5.4</v>
      </c>
      <c r="E9" s="11">
        <f>[2]Sheet6!$L$3*(1-[4]分部分项工程计价表!$M$27)*D9</f>
        <v>20652.286163841225</v>
      </c>
      <c r="F9" s="11" t="s">
        <v>90</v>
      </c>
      <c r="H9">
        <f t="shared" si="0"/>
        <v>0</v>
      </c>
    </row>
    <row r="10" spans="1:10">
      <c r="A10" s="11"/>
      <c r="B10" s="11"/>
      <c r="C10" s="11"/>
      <c r="D10" s="11"/>
      <c r="E10" s="11"/>
      <c r="F10" s="11"/>
      <c r="H10">
        <f t="shared" si="0"/>
        <v>0</v>
      </c>
    </row>
    <row r="11" spans="1:10">
      <c r="A11" s="11"/>
      <c r="B11" s="11"/>
      <c r="C11" s="11"/>
      <c r="D11" s="11"/>
      <c r="E11" s="11"/>
      <c r="F11" s="11"/>
      <c r="H11">
        <f t="shared" si="0"/>
        <v>0</v>
      </c>
    </row>
    <row r="12" spans="1:10">
      <c r="A12" s="11"/>
      <c r="B12" s="11" t="s">
        <v>91</v>
      </c>
      <c r="C12" s="11" t="s">
        <v>92</v>
      </c>
      <c r="D12" s="11">
        <v>3.65</v>
      </c>
      <c r="E12" s="11">
        <f>[2]Sheet6!$L$3*(1-[4]分部分项工程计价表!$M$27)*D12</f>
        <v>13959.415647781567</v>
      </c>
      <c r="F12" s="11" t="s">
        <v>90</v>
      </c>
      <c r="H12">
        <f t="shared" si="0"/>
        <v>0</v>
      </c>
    </row>
    <row r="13" spans="1:10">
      <c r="A13" s="11"/>
      <c r="B13" s="11"/>
      <c r="C13" s="11"/>
      <c r="D13" s="11"/>
      <c r="E13" s="11"/>
      <c r="F13" s="11"/>
      <c r="H13">
        <f t="shared" si="0"/>
        <v>0</v>
      </c>
    </row>
    <row r="14" spans="1:10">
      <c r="A14" s="11"/>
      <c r="B14" s="11"/>
      <c r="C14" s="11"/>
      <c r="D14" s="11"/>
      <c r="E14" s="11"/>
      <c r="F14" s="11"/>
      <c r="H14">
        <f t="shared" si="0"/>
        <v>0</v>
      </c>
    </row>
    <row r="15" spans="1:10">
      <c r="G15">
        <f>SUM(G3:G14)</f>
        <v>145.65391341585467</v>
      </c>
      <c r="H15">
        <f t="shared" si="0"/>
        <v>14.965939603479066</v>
      </c>
      <c r="J15">
        <f>H15+混凝土工程!H4+混凝土工程!H9+混凝土工程!H12+混凝土工程!H13+砌体工程量!H12</f>
        <v>130.38257153933841</v>
      </c>
    </row>
  </sheetData>
  <mergeCells count="14">
    <mergeCell ref="B12:B14"/>
    <mergeCell ref="C9:C11"/>
    <mergeCell ref="D9:D11"/>
    <mergeCell ref="E9:E11"/>
    <mergeCell ref="A1:F1"/>
    <mergeCell ref="A3:A14"/>
    <mergeCell ref="B3:B5"/>
    <mergeCell ref="F3:F5"/>
    <mergeCell ref="B6:B11"/>
    <mergeCell ref="F9:F11"/>
    <mergeCell ref="C12:C14"/>
    <mergeCell ref="D12:D14"/>
    <mergeCell ref="E12:E14"/>
    <mergeCell ref="F12:F1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L19" sqref="L19"/>
    </sheetView>
  </sheetViews>
  <sheetFormatPr defaultRowHeight="14.25"/>
  <sheetData>
    <row r="1" spans="1:7">
      <c r="A1" s="9" t="s">
        <v>93</v>
      </c>
      <c r="B1" s="9"/>
      <c r="C1" s="9"/>
      <c r="D1" s="9"/>
      <c r="E1" s="9"/>
      <c r="F1" s="9"/>
    </row>
    <row r="2" spans="1:7">
      <c r="A2" s="7" t="s">
        <v>27</v>
      </c>
      <c r="B2" s="7" t="s">
        <v>28</v>
      </c>
      <c r="C2" s="7" t="s">
        <v>29</v>
      </c>
      <c r="D2" s="7" t="s">
        <v>33</v>
      </c>
      <c r="E2" s="7" t="s">
        <v>34</v>
      </c>
      <c r="F2" s="7" t="s">
        <v>30</v>
      </c>
      <c r="G2" s="8" t="s">
        <v>100</v>
      </c>
    </row>
    <row r="3" spans="1:7" ht="14.25" customHeight="1">
      <c r="A3" s="11" t="s">
        <v>94</v>
      </c>
      <c r="B3" s="11" t="s">
        <v>95</v>
      </c>
      <c r="C3" s="10" t="s">
        <v>97</v>
      </c>
      <c r="D3" s="11">
        <v>1.958</v>
      </c>
      <c r="E3" s="11">
        <f>[5]总体用地情况!$C$3/100*D3</f>
        <v>1900.4935399999999</v>
      </c>
      <c r="F3" s="11" t="s">
        <v>35</v>
      </c>
      <c r="G3" s="9">
        <f>E3*[1]施工机械台班能源用量!$H$14</f>
        <v>47.416850102576241</v>
      </c>
    </row>
    <row r="4" spans="1:7">
      <c r="A4" s="11"/>
      <c r="B4" s="11"/>
      <c r="C4" s="10"/>
      <c r="D4" s="11"/>
      <c r="E4" s="11"/>
      <c r="F4" s="11"/>
      <c r="G4" s="9"/>
    </row>
    <row r="5" spans="1:7">
      <c r="A5" s="11"/>
      <c r="B5" s="11"/>
      <c r="C5" s="10"/>
      <c r="D5" s="11"/>
      <c r="E5" s="11"/>
      <c r="F5" s="11"/>
      <c r="G5" s="9"/>
    </row>
    <row r="6" spans="1:7">
      <c r="A6" s="11"/>
      <c r="B6" s="11"/>
      <c r="C6" s="10"/>
      <c r="D6" s="11"/>
      <c r="E6" s="11"/>
      <c r="F6" s="11"/>
      <c r="G6" s="9"/>
    </row>
    <row r="7" spans="1:7">
      <c r="A7" s="11"/>
      <c r="B7" s="11"/>
      <c r="C7" s="10"/>
      <c r="D7" s="11"/>
      <c r="E7" s="11"/>
      <c r="F7" s="11"/>
      <c r="G7" s="9"/>
    </row>
    <row r="8" spans="1:7">
      <c r="A8" s="11"/>
      <c r="B8" s="11"/>
      <c r="C8" s="11" t="s">
        <v>96</v>
      </c>
      <c r="D8" s="11">
        <v>2.35</v>
      </c>
      <c r="E8" s="11">
        <f>([5]总体用地情况!$C$3/650)*D8</f>
        <v>350.92007692307692</v>
      </c>
      <c r="F8" s="11" t="s">
        <v>35</v>
      </c>
      <c r="G8" s="9">
        <f>E8*[1]施工机械台班能源用量!$H$15</f>
        <v>283.26794223029918</v>
      </c>
    </row>
    <row r="9" spans="1:7">
      <c r="A9" s="11"/>
      <c r="B9" s="11"/>
      <c r="C9" s="11"/>
      <c r="D9" s="11"/>
      <c r="E9" s="11"/>
      <c r="F9" s="11"/>
      <c r="G9" s="9"/>
    </row>
    <row r="10" spans="1:7">
      <c r="A10" s="11"/>
      <c r="B10" s="11"/>
      <c r="C10" s="11"/>
      <c r="D10" s="11"/>
      <c r="E10" s="11"/>
      <c r="F10" s="11"/>
      <c r="G10" s="9"/>
    </row>
    <row r="11" spans="1:7">
      <c r="A11" s="11"/>
      <c r="B11" s="11"/>
      <c r="C11" s="11"/>
      <c r="D11" s="11"/>
      <c r="E11" s="11"/>
      <c r="F11" s="11"/>
      <c r="G11" s="9"/>
    </row>
    <row r="12" spans="1:7">
      <c r="A12" s="11"/>
      <c r="B12" s="11"/>
      <c r="C12" s="11"/>
      <c r="D12" s="11"/>
      <c r="E12" s="11"/>
      <c r="F12" s="11"/>
      <c r="G12" s="9"/>
    </row>
    <row r="13" spans="1:7">
      <c r="A13" s="11"/>
      <c r="B13" s="11"/>
      <c r="C13" s="11"/>
      <c r="D13" s="11"/>
      <c r="E13" s="11"/>
      <c r="F13" s="11"/>
      <c r="G13" s="9"/>
    </row>
    <row r="14" spans="1:7">
      <c r="A14" s="11"/>
      <c r="B14" s="11"/>
      <c r="C14" s="11"/>
      <c r="D14" s="11"/>
      <c r="E14" s="11"/>
      <c r="F14" s="11"/>
      <c r="G14" s="9"/>
    </row>
    <row r="15" spans="1:7">
      <c r="G15">
        <f>SUM(G8)</f>
        <v>283.26794223029918</v>
      </c>
    </row>
  </sheetData>
  <mergeCells count="13">
    <mergeCell ref="G3:G7"/>
    <mergeCell ref="G8:G14"/>
    <mergeCell ref="A1:F1"/>
    <mergeCell ref="A3:A14"/>
    <mergeCell ref="B3:B14"/>
    <mergeCell ref="C3:C7"/>
    <mergeCell ref="D3:D7"/>
    <mergeCell ref="E3:E7"/>
    <mergeCell ref="F3:F7"/>
    <mergeCell ref="C8:C14"/>
    <mergeCell ref="D8:D14"/>
    <mergeCell ref="E8:E14"/>
    <mergeCell ref="F8:F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4.25"/>
  <sheetData>
    <row r="1" spans="1:2">
      <c r="A1" t="s">
        <v>102</v>
      </c>
      <c r="B1">
        <f>土石方工程量!T11</f>
        <v>278.17902629915943</v>
      </c>
    </row>
    <row r="2" spans="1:2">
      <c r="A2" t="s">
        <v>103</v>
      </c>
      <c r="B2">
        <f>独立基础工程量!G15</f>
        <v>449.43669510814527</v>
      </c>
    </row>
    <row r="3" spans="1:2">
      <c r="A3" t="s">
        <v>104</v>
      </c>
      <c r="B3">
        <f>砌体工程量!G12</f>
        <v>12.111941296719641</v>
      </c>
    </row>
    <row r="4" spans="1:2">
      <c r="A4" t="s">
        <v>105</v>
      </c>
      <c r="B4">
        <f>混凝土工程!G15</f>
        <v>925.71281850195419</v>
      </c>
    </row>
    <row r="5" spans="1:2">
      <c r="A5" t="s">
        <v>106</v>
      </c>
      <c r="B5">
        <f>主体结构钢筋工程!G15</f>
        <v>145.65391341585467</v>
      </c>
    </row>
    <row r="6" spans="1:2">
      <c r="A6" t="s">
        <v>107</v>
      </c>
      <c r="B6">
        <f>垂直运输工程!G15</f>
        <v>283.26794223029918</v>
      </c>
    </row>
    <row r="7" spans="1:2">
      <c r="B7">
        <f>SUM(B1:B6)</f>
        <v>2094.3623368521326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土石方工程量</vt:lpstr>
      <vt:lpstr>独立基础工程量</vt:lpstr>
      <vt:lpstr>砌体工程量</vt:lpstr>
      <vt:lpstr>混凝土工程</vt:lpstr>
      <vt:lpstr>主体结构钢筋工程</vt:lpstr>
      <vt:lpstr>垂直运输工程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 W</dc:creator>
  <cp:lastModifiedBy>admin</cp:lastModifiedBy>
  <dcterms:created xsi:type="dcterms:W3CDTF">2015-06-05T18:17:20Z</dcterms:created>
  <dcterms:modified xsi:type="dcterms:W3CDTF">2022-04-26T10:33:32Z</dcterms:modified>
</cp:coreProperties>
</file>