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 Contract" sheetId="1" state="visible" r:id="rId2"/>
    <sheet name="Contract" sheetId="2" state="visible" r:id="rId3"/>
    <sheet name="HET" sheetId="3" state="visible" r:id="rId4"/>
    <sheet name="Salary Structure" sheetId="4" state="visible" r:id="rId5"/>
    <sheet name="All Employee Structures" sheetId="5" state="visible" r:id="rId6"/>
    <sheet name="Aaram" sheetId="6" state="visible" r:id="rId7"/>
  </sheets>
  <definedNames>
    <definedName function="false" hidden="true" localSheetId="2" name="_xlnm._FilterDatabase" vbProcedure="false">HET!$A$1:$AA$87</definedName>
    <definedName function="false" hidden="true" localSheetId="0" name="_xlnm._FilterDatabase" vbProcedure="false">'HR Contract'!$A$1:$L$73</definedName>
    <definedName function="false" hidden="true" localSheetId="3" name="_xlnm._FilterDatabase" vbProcedure="false">'Salary Structure'!$A$1:$L$25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Per Annum
	-Ronak Baxi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Per Month
	-Ronak Baxi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0" authorId="0">
      <text>
        <r>
          <rPr>
            <sz val="10"/>
            <color rgb="FF000000"/>
            <rFont val="Arial"/>
            <family val="0"/>
            <charset val="1"/>
          </rPr>
          <t xml:space="preserve">use the PT Slab formula
	-Sridevi Divakarla
----
set to zero
	-Sridevi Divakarla
----
set to zero
	-Sridevi Divakarla</t>
        </r>
      </text>
    </comment>
    <comment ref="E30" authorId="0">
      <text>
        <r>
          <rPr>
            <sz val="10"/>
            <color rgb="FF000000"/>
            <rFont val="Arial"/>
            <family val="0"/>
            <charset val="1"/>
          </rPr>
          <t xml:space="preserve">use the pt slab formula
	-Sridevi Divakarla
----
set to zero
	-Sridevi Divakarla
----
need to use the PT Slab formula
	-Sridevi Divakarla
----
set to zero
	-Sridevi Divakarla</t>
        </r>
      </text>
    </comment>
    <comment ref="F30" authorId="0">
      <text>
        <r>
          <rPr>
            <sz val="10"/>
            <color rgb="FF000000"/>
            <rFont val="Arial"/>
            <family val="0"/>
            <charset val="1"/>
          </rPr>
          <t xml:space="preserve">Need to use the PT Slab formula
	-Sridevi Divakarla</t>
        </r>
      </text>
    </comment>
    <comment ref="G25" authorId="0">
      <text>
        <r>
          <rPr>
            <sz val="10"/>
            <color rgb="FF000000"/>
            <rFont val="Arial"/>
            <family val="0"/>
            <charset val="1"/>
          </rPr>
          <t xml:space="preserve">PT need to be zero
	-Sridevi Divakarla</t>
        </r>
      </text>
    </comment>
    <comment ref="H30" authorId="0">
      <text>
        <r>
          <rPr>
            <sz val="10"/>
            <color rgb="FF000000"/>
            <rFont val="Arial"/>
            <family val="0"/>
            <charset val="1"/>
          </rPr>
          <t xml:space="preserve">Use the PT slab formula
	-Sridevi Divakarla
----
use PF Slab formula
	-Sridevi Divakarla
----
need to set to zero
	-Sridevi Divakarla
----
User the PT Slab formula
	-Sridevi Divakarla
----
Need to zero
	-Sridevi Divakarla</t>
        </r>
      </text>
    </comment>
    <comment ref="J30" authorId="0">
      <text>
        <r>
          <rPr>
            <sz val="10"/>
            <color rgb="FF000000"/>
            <rFont val="Arial"/>
            <family val="0"/>
            <charset val="1"/>
          </rPr>
          <t xml:space="preserve">use the PT slab formula
	-Sridevi Divakarla
----
set to zero
	-Sridevi Divakarla</t>
        </r>
      </text>
    </comment>
  </commentList>
</comments>
</file>

<file path=xl/sharedStrings.xml><?xml version="1.0" encoding="utf-8"?>
<sst xmlns="http://schemas.openxmlformats.org/spreadsheetml/2006/main" count="4242" uniqueCount="1830">
  <si>
    <t xml:space="preserve">Display Name</t>
  </si>
  <si>
    <t xml:space="preserve">Employee Code</t>
  </si>
  <si>
    <t xml:space="preserve">Location/Display Name</t>
  </si>
  <si>
    <t xml:space="preserve">Company/Company Name</t>
  </si>
  <si>
    <t xml:space="preserve">Salary Sturcture</t>
  </si>
  <si>
    <t xml:space="preserve">Special Grade</t>
  </si>
  <si>
    <t xml:space="preserve">Gross</t>
  </si>
  <si>
    <t xml:space="preserve">Insurance</t>
  </si>
  <si>
    <t xml:space="preserve">Insurancesasas</t>
  </si>
  <si>
    <t xml:space="preserve">TDS</t>
  </si>
  <si>
    <t xml:space="preserve">MISC ALLOWANCE</t>
  </si>
  <si>
    <t xml:space="preserve">HR DEDUCTIONS</t>
  </si>
  <si>
    <t xml:space="preserve">Ajay Saini</t>
  </si>
  <si>
    <t xml:space="preserve">SRCM/DZA/0343</t>
  </si>
  <si>
    <t xml:space="preserve">DELHI-ZONAL ASHRAM</t>
  </si>
  <si>
    <t xml:space="preserve">Shri Ram Chandra Mission</t>
  </si>
  <si>
    <t xml:space="preserve">Anand Arogyaraj</t>
  </si>
  <si>
    <t xml:space="preserve">SRCM/TUP/0626</t>
  </si>
  <si>
    <t xml:space="preserve">TIRUPPUR</t>
  </si>
  <si>
    <t xml:space="preserve">Anitha Devakollu</t>
  </si>
  <si>
    <t xml:space="preserve">SRCM/THUM/1472</t>
  </si>
  <si>
    <t xml:space="preserve">HYDERABAD THUMKUNTA</t>
  </si>
  <si>
    <t xml:space="preserve">Balamani B</t>
  </si>
  <si>
    <t xml:space="preserve">SRCM/THUM/1473</t>
  </si>
  <si>
    <t xml:space="preserve">Balasubramanian V</t>
  </si>
  <si>
    <t xml:space="preserve">SRCM/CBE/1479</t>
  </si>
  <si>
    <t xml:space="preserve">COIMBATORE</t>
  </si>
  <si>
    <t xml:space="preserve">Banshilal Vishwakama</t>
  </si>
  <si>
    <t xml:space="preserve">SRCM/BHS/0480</t>
  </si>
  <si>
    <t xml:space="preserve">VIDHISHA</t>
  </si>
  <si>
    <t xml:space="preserve">Bharat Sah</t>
  </si>
  <si>
    <t xml:space="preserve">SRCM/GURU/0334</t>
  </si>
  <si>
    <t xml:space="preserve">DELHI-GURUGRAM</t>
  </si>
  <si>
    <t xml:space="preserve">Bhuvendra Singh Negi</t>
  </si>
  <si>
    <t xml:space="preserve">SRCM/SAT/0418</t>
  </si>
  <si>
    <t xml:space="preserve">SATKHOL</t>
  </si>
  <si>
    <t xml:space="preserve">Bibash Chandra Tiwari</t>
  </si>
  <si>
    <t xml:space="preserve">SRCM/DZA/0344</t>
  </si>
  <si>
    <t xml:space="preserve">Bimla Yadav</t>
  </si>
  <si>
    <t xml:space="preserve">SRCM/GURU/0335</t>
  </si>
  <si>
    <t xml:space="preserve">Birendra Singh Bisht</t>
  </si>
  <si>
    <t xml:space="preserve">SRCM/SAT/0509</t>
  </si>
  <si>
    <t xml:space="preserve">Chandra Prakash Singh</t>
  </si>
  <si>
    <t xml:space="preserve">SRCM/SAT/0432</t>
  </si>
  <si>
    <t xml:space="preserve">Daya Kishan Bhatt</t>
  </si>
  <si>
    <t xml:space="preserve">SRCM/PGRH/0547</t>
  </si>
  <si>
    <t xml:space="preserve">PITHORAGARH</t>
  </si>
  <si>
    <t xml:space="preserve">Desh Raj Meena</t>
  </si>
  <si>
    <t xml:space="preserve">SRCM/AWR/1478</t>
  </si>
  <si>
    <t xml:space="preserve">ALWAR</t>
  </si>
  <si>
    <t xml:space="preserve">Dhan Singh</t>
  </si>
  <si>
    <t xml:space="preserve">SRCM/SAT/1066</t>
  </si>
  <si>
    <t xml:space="preserve">Dungar Singh</t>
  </si>
  <si>
    <t xml:space="preserve">SRCM/SAT/0424</t>
  </si>
  <si>
    <t xml:space="preserve">Ganesh Tewari</t>
  </si>
  <si>
    <t xml:space="preserve">SRCM/SAT/0510</t>
  </si>
  <si>
    <t xml:space="preserve">Gaura Singh</t>
  </si>
  <si>
    <t xml:space="preserve">SRCM/SAT/0615</t>
  </si>
  <si>
    <t xml:space="preserve">Girish Ram</t>
  </si>
  <si>
    <t xml:space="preserve">SRCM/SAT/0433</t>
  </si>
  <si>
    <t xml:space="preserve">Govind Singh Latwal</t>
  </si>
  <si>
    <t xml:space="preserve">SRCM/SAT/0741</t>
  </si>
  <si>
    <t xml:space="preserve">Govind Singh Negi</t>
  </si>
  <si>
    <t xml:space="preserve">SRCM/SAT/0425</t>
  </si>
  <si>
    <t xml:space="preserve">Harendra Singh</t>
  </si>
  <si>
    <t xml:space="preserve">SRCM/SAT/0508</t>
  </si>
  <si>
    <t xml:space="preserve">SRCM/SAT/0435</t>
  </si>
  <si>
    <t xml:space="preserve">Harendra Singh Jeena</t>
  </si>
  <si>
    <t xml:space="preserve">SRCM/SAT/0434</t>
  </si>
  <si>
    <t xml:space="preserve">Janaki.S</t>
  </si>
  <si>
    <t xml:space="preserve">SRCM/CBE/1480</t>
  </si>
  <si>
    <t xml:space="preserve">Jayawante Chikate</t>
  </si>
  <si>
    <t xml:space="preserve">SRCM/PLO/0637</t>
  </si>
  <si>
    <t xml:space="preserve">PULGAON</t>
  </si>
  <si>
    <t xml:space="preserve">K. Sellan</t>
  </si>
  <si>
    <t xml:space="preserve">SRCM/TUP/0620</t>
  </si>
  <si>
    <t xml:space="preserve">Kanthamma Sakibanda</t>
  </si>
  <si>
    <t xml:space="preserve">SRCM/TPTY/0640</t>
  </si>
  <si>
    <t xml:space="preserve">TIRUPATI</t>
  </si>
  <si>
    <t xml:space="preserve">Khilanand Joshi</t>
  </si>
  <si>
    <t xml:space="preserve">SRCM/PGRH/0550</t>
  </si>
  <si>
    <t xml:space="preserve">Kiran Pandurang Ingale</t>
  </si>
  <si>
    <t xml:space="preserve">SRCM/PUNE/0617</t>
  </si>
  <si>
    <t xml:space="preserve">PUNE</t>
  </si>
  <si>
    <t xml:space="preserve">Kumaran P P</t>
  </si>
  <si>
    <t xml:space="preserve">SRCM/PAY/0986</t>
  </si>
  <si>
    <t xml:space="preserve">PAYYANUR</t>
  </si>
  <si>
    <t xml:space="preserve">Lalit Mohan Singh</t>
  </si>
  <si>
    <t xml:space="preserve">HFI/NDLS/1471</t>
  </si>
  <si>
    <t xml:space="preserve">M.Parameshwaran</t>
  </si>
  <si>
    <t xml:space="preserve">SRCM/TUP/0622</t>
  </si>
  <si>
    <t xml:space="preserve">Madhavi Banala</t>
  </si>
  <si>
    <t xml:space="preserve">SRCM/THUM/1474</t>
  </si>
  <si>
    <t xml:space="preserve">Mahendra Kumar</t>
  </si>
  <si>
    <t xml:space="preserve">SRCM/SAT/0427</t>
  </si>
  <si>
    <t xml:space="preserve">Mangapatnam P</t>
  </si>
  <si>
    <t xml:space="preserve">SRCM/THUM/1475</t>
  </si>
  <si>
    <t xml:space="preserve">Manmohan Singh</t>
  </si>
  <si>
    <t xml:space="preserve">SRCM/SAT/0513</t>
  </si>
  <si>
    <t xml:space="preserve">Manohar Hiru Jadhav</t>
  </si>
  <si>
    <t xml:space="preserve">SRCM/BCT/0327</t>
  </si>
  <si>
    <t xml:space="preserve">MUMBAI PANVEL</t>
  </si>
  <si>
    <t xml:space="preserve">Mohan Singh</t>
  </si>
  <si>
    <t xml:space="preserve">SRCM/SAT/1067</t>
  </si>
  <si>
    <t xml:space="preserve">Mukesh Chandra Seliya</t>
  </si>
  <si>
    <t xml:space="preserve">SRCM/PGRH/0548</t>
  </si>
  <si>
    <t xml:space="preserve">Om Prakash</t>
  </si>
  <si>
    <t xml:space="preserve">SRCM/SAT/0511</t>
  </si>
  <si>
    <t xml:space="preserve">Pandurang Madhukar Karlakar</t>
  </si>
  <si>
    <t xml:space="preserve">SRCM/BCT/0328</t>
  </si>
  <si>
    <t xml:space="preserve">Pramod Kumar</t>
  </si>
  <si>
    <t xml:space="preserve">SRCM/SAT/0428</t>
  </si>
  <si>
    <t xml:space="preserve">Rabindranath Golui</t>
  </si>
  <si>
    <t xml:space="preserve">SRCM/KOAA/0518</t>
  </si>
  <si>
    <t xml:space="preserve">KOLKATA</t>
  </si>
  <si>
    <t xml:space="preserve">Rajendra Singh</t>
  </si>
  <si>
    <t xml:space="preserve">SRCM/SAT/0512</t>
  </si>
  <si>
    <t xml:space="preserve">Rajendra Singh Latwal</t>
  </si>
  <si>
    <t xml:space="preserve">SRCM/SAT/0429</t>
  </si>
  <si>
    <t xml:space="preserve">Rajendra Singh Rawat</t>
  </si>
  <si>
    <t xml:space="preserve">SRCM/SAT/0430</t>
  </si>
  <si>
    <t xml:space="preserve">Rajesh</t>
  </si>
  <si>
    <t xml:space="preserve">SRCM/GURU/0337</t>
  </si>
  <si>
    <t xml:space="preserve">Rajesh Kumar Yadav</t>
  </si>
  <si>
    <t xml:space="preserve">SRCM/DZA/0345</t>
  </si>
  <si>
    <t xml:space="preserve">Raju Kabdwal</t>
  </si>
  <si>
    <t xml:space="preserve">SRCM/SAT/1109</t>
  </si>
  <si>
    <t xml:space="preserve">Ram Khelawan</t>
  </si>
  <si>
    <t xml:space="preserve">SRCM/NDLS/0694</t>
  </si>
  <si>
    <t xml:space="preserve">Ram Pratap</t>
  </si>
  <si>
    <t xml:space="preserve">SRCM/GURU/0339</t>
  </si>
  <si>
    <t xml:space="preserve">Ramesh Shankar Arivale</t>
  </si>
  <si>
    <t xml:space="preserve">SRCM/BCT/0333</t>
  </si>
  <si>
    <t xml:space="preserve">Ravikumar B</t>
  </si>
  <si>
    <t xml:space="preserve">SRCM/TJ/1065</t>
  </si>
  <si>
    <t xml:space="preserve">THANJAVUR</t>
  </si>
  <si>
    <t xml:space="preserve">Roshan Lal</t>
  </si>
  <si>
    <t xml:space="preserve">SRCM/GURU/0340</t>
  </si>
  <si>
    <t xml:space="preserve">Sanjay Kumar Jena</t>
  </si>
  <si>
    <t xml:space="preserve">SRCM/SAT/0506</t>
  </si>
  <si>
    <t xml:space="preserve">Seema Tiwary</t>
  </si>
  <si>
    <t xml:space="preserve">SRCM/DRKP/0342</t>
  </si>
  <si>
    <t xml:space="preserve">DELHI RK PURAM</t>
  </si>
  <si>
    <t xml:space="preserve">Sh. Gangadin</t>
  </si>
  <si>
    <t xml:space="preserve">SRCM/ADI/0349</t>
  </si>
  <si>
    <t xml:space="preserve">AHMEDABAD</t>
  </si>
  <si>
    <t xml:space="preserve">Sh. Shambhunath</t>
  </si>
  <si>
    <t xml:space="preserve">SRCM/ADI/0351</t>
  </si>
  <si>
    <t xml:space="preserve">Sh. Shitlaprasad</t>
  </si>
  <si>
    <t xml:space="preserve">SRCM/ADI/0347</t>
  </si>
  <si>
    <t xml:space="preserve">Shankar Singh Latwal</t>
  </si>
  <si>
    <t xml:space="preserve">SRCM/SAT/0645</t>
  </si>
  <si>
    <t xml:space="preserve">Smt. Sunitadevi</t>
  </si>
  <si>
    <t xml:space="preserve">SRCM/ADI/0352</t>
  </si>
  <si>
    <t xml:space="preserve">Somanna</t>
  </si>
  <si>
    <t xml:space="preserve">SRCM/MYS/0091</t>
  </si>
  <si>
    <t xml:space="preserve">MYSORE</t>
  </si>
  <si>
    <t xml:space="preserve">Srinivasu Peddimudi</t>
  </si>
  <si>
    <t xml:space="preserve">SRCM/THUM/1476</t>
  </si>
  <si>
    <t xml:space="preserve">Veera Raghavulu Rayudu</t>
  </si>
  <si>
    <t xml:space="preserve">SRCM/THUM/1477</t>
  </si>
  <si>
    <t xml:space="preserve">Vijay Kumar</t>
  </si>
  <si>
    <t xml:space="preserve">SRCM/SAT/1108</t>
  </si>
  <si>
    <t xml:space="preserve">Vikas Choudry</t>
  </si>
  <si>
    <t xml:space="preserve">SRCM/BMA/0102</t>
  </si>
  <si>
    <t xml:space="preserve">SHAHJAHANPUR</t>
  </si>
  <si>
    <t xml:space="preserve">Vikas Tiwari</t>
  </si>
  <si>
    <t xml:space="preserve">SRCM/DRKP/0341</t>
  </si>
  <si>
    <t xml:space="preserve">Vinod Digamber Karavade</t>
  </si>
  <si>
    <t xml:space="preserve">SRCM/BCT/0326</t>
  </si>
  <si>
    <t xml:space="preserve">Vinoth</t>
  </si>
  <si>
    <t xml:space="preserve">SRCM/TUP/0623</t>
  </si>
  <si>
    <t xml:space="preserve">Virendra Kumar</t>
  </si>
  <si>
    <t xml:space="preserve">SRCM/SAT/0417</t>
  </si>
  <si>
    <t xml:space="preserve">Virendra Singh</t>
  </si>
  <si>
    <t xml:space="preserve">SRCM/SAT/0515</t>
  </si>
  <si>
    <t xml:space="preserve">A Giri</t>
  </si>
  <si>
    <t xml:space="preserve">SRCM/CTO/0002</t>
  </si>
  <si>
    <t xml:space="preserve">A Harikrishnan</t>
  </si>
  <si>
    <t xml:space="preserve">SRCM/BMA/1125</t>
  </si>
  <si>
    <t xml:space="preserve">BABUJI MEMORIAL ASHRAM</t>
  </si>
  <si>
    <t xml:space="preserve">A Parameshwari</t>
  </si>
  <si>
    <t xml:space="preserve">HFI/KAN/1246</t>
  </si>
  <si>
    <t xml:space="preserve">TELANGANA</t>
  </si>
  <si>
    <t xml:space="preserve">Heartfulness Institute</t>
  </si>
  <si>
    <t xml:space="preserve">A Prasad Reddy</t>
  </si>
  <si>
    <t xml:space="preserve">SRC/KAN/0990</t>
  </si>
  <si>
    <t xml:space="preserve">KANHA SHANTI VANAM</t>
  </si>
  <si>
    <t xml:space="preserve">Suruchi Cafeteria LLP</t>
  </si>
  <si>
    <t xml:space="preserve">A.Perumalsamy</t>
  </si>
  <si>
    <t xml:space="preserve">SRCM/TUP/0627</t>
  </si>
  <si>
    <t xml:space="preserve">UTTAR PRADESH</t>
  </si>
  <si>
    <t xml:space="preserve">Aaron Richards Adolfwalter</t>
  </si>
  <si>
    <t xml:space="preserve">HET/KAN/1381</t>
  </si>
  <si>
    <t xml:space="preserve">Abdul Sattar</t>
  </si>
  <si>
    <t xml:space="preserve">SMSF/KAN/0917</t>
  </si>
  <si>
    <t xml:space="preserve">Sahaj Marg Spirituality Foundation</t>
  </si>
  <si>
    <t xml:space="preserve">Abhilasha Choudhary</t>
  </si>
  <si>
    <t xml:space="preserve">SHKJ/KAN/1214</t>
  </si>
  <si>
    <t xml:space="preserve">Spiritual Hierarchy Publication Trust</t>
  </si>
  <si>
    <t xml:space="preserve">Abhishek Mudda</t>
  </si>
  <si>
    <t xml:space="preserve">SHKJ/KAN/1154</t>
  </si>
  <si>
    <t xml:space="preserve">Shanti Kunj Infrastructure LLP</t>
  </si>
  <si>
    <t xml:space="preserve">Abinaya R</t>
  </si>
  <si>
    <t xml:space="preserve">SMSF/BMA/0001</t>
  </si>
  <si>
    <t xml:space="preserve">Abirami J.</t>
  </si>
  <si>
    <t xml:space="preserve">HET/BCT/1422</t>
  </si>
  <si>
    <t xml:space="preserve">MUMBAI</t>
  </si>
  <si>
    <t xml:space="preserve">Heartfulness Education Trust</t>
  </si>
  <si>
    <t xml:space="preserve">Acchini Kumar</t>
  </si>
  <si>
    <t xml:space="preserve">SHKJ/KAN/1286</t>
  </si>
  <si>
    <t xml:space="preserve">Aduru Suresh</t>
  </si>
  <si>
    <t xml:space="preserve">SMSF/KAN/0708</t>
  </si>
  <si>
    <t xml:space="preserve">Aiswarya R</t>
  </si>
  <si>
    <t xml:space="preserve">HFI/TN/1445</t>
  </si>
  <si>
    <t xml:space="preserve">TAMIL NADU</t>
  </si>
  <si>
    <t xml:space="preserve">Ajay Kumar Bhardwaj</t>
  </si>
  <si>
    <t xml:space="preserve">SMSF/KAN/0192</t>
  </si>
  <si>
    <t xml:space="preserve">Ajeet Kumar Rajbhar</t>
  </si>
  <si>
    <t xml:space="preserve">SMSF/KAN/0374</t>
  </si>
  <si>
    <t xml:space="preserve">Ajithkumar Anbalagan</t>
  </si>
  <si>
    <t xml:space="preserve">SHKJ/KAN/1333</t>
  </si>
  <si>
    <t xml:space="preserve">Akash Jaiswal</t>
  </si>
  <si>
    <t xml:space="preserve">HET/KAN/1406</t>
  </si>
  <si>
    <t xml:space="preserve">Akkena Ajay Kumar</t>
  </si>
  <si>
    <t xml:space="preserve">SMSF/KAN/0003</t>
  </si>
  <si>
    <t xml:space="preserve">Allam Venkata Anirudhbose</t>
  </si>
  <si>
    <t xml:space="preserve">HET/KAN/1382</t>
  </si>
  <si>
    <t xml:space="preserve">Alluri Sarath Chandravarma</t>
  </si>
  <si>
    <t xml:space="preserve">HET/KAN/1248</t>
  </si>
  <si>
    <t xml:space="preserve">Amar Singh</t>
  </si>
  <si>
    <t xml:space="preserve">SMSF/KAN/0761</t>
  </si>
  <si>
    <t xml:space="preserve">Amaravathi Monickavasagom</t>
  </si>
  <si>
    <t xml:space="preserve">HET/KAN/1181</t>
  </si>
  <si>
    <t xml:space="preserve">Ami Singhania</t>
  </si>
  <si>
    <t xml:space="preserve">HFI/KAN/1237</t>
  </si>
  <si>
    <t xml:space="preserve">VALSAD</t>
  </si>
  <si>
    <t xml:space="preserve">Amirigudam Naveen</t>
  </si>
  <si>
    <t xml:space="preserve">SMSF/KAN/1086</t>
  </si>
  <si>
    <t xml:space="preserve">Amit Agarwal</t>
  </si>
  <si>
    <t xml:space="preserve">HET/KAN/1135</t>
  </si>
  <si>
    <t xml:space="preserve">Amit Badam</t>
  </si>
  <si>
    <t xml:space="preserve">SRCM/BMA/0243</t>
  </si>
  <si>
    <t xml:space="preserve">Amit Kumar</t>
  </si>
  <si>
    <t xml:space="preserve">SMSF/KAN/0660</t>
  </si>
  <si>
    <t xml:space="preserve">Amit Kumar Pal</t>
  </si>
  <si>
    <t xml:space="preserve">SMSF/KAN/0152</t>
  </si>
  <si>
    <t xml:space="preserve">Amith Kumar Singhchauhan</t>
  </si>
  <si>
    <t xml:space="preserve">SMSF/KAN/0594</t>
  </si>
  <si>
    <t xml:space="preserve">Ammasi</t>
  </si>
  <si>
    <t xml:space="preserve">SRCM/THU/0619</t>
  </si>
  <si>
    <t xml:space="preserve">Amol Gopal Khandelwal</t>
  </si>
  <si>
    <t xml:space="preserve">SRCM/BMA/1255</t>
  </si>
  <si>
    <t xml:space="preserve">Amutha C</t>
  </si>
  <si>
    <t xml:space="preserve">SRCM/BMA/0006</t>
  </si>
  <si>
    <t xml:space="preserve">Anand Gundepogu</t>
  </si>
  <si>
    <t xml:space="preserve">SMSF/KAN/0569</t>
  </si>
  <si>
    <t xml:space="preserve">Heartyculture Natural Products LLP</t>
  </si>
  <si>
    <t xml:space="preserve">Anand Singh Mehta</t>
  </si>
  <si>
    <t xml:space="preserve">SRCM/SAT/1124</t>
  </si>
  <si>
    <t xml:space="preserve">Ananth Kapatkar</t>
  </si>
  <si>
    <t xml:space="preserve">HET/KAN/1460</t>
  </si>
  <si>
    <t xml:space="preserve">Ananthi. K</t>
  </si>
  <si>
    <t xml:space="preserve">SHPT/BMA/0286</t>
  </si>
  <si>
    <t xml:space="preserve">Andal V</t>
  </si>
  <si>
    <t xml:space="preserve">SMSF/TRL/0367</t>
  </si>
  <si>
    <t xml:space="preserve">TIRUVALLUR</t>
  </si>
  <si>
    <t xml:space="preserve">Angad A R</t>
  </si>
  <si>
    <t xml:space="preserve">SHKJ/KAN/1290</t>
  </si>
  <si>
    <t xml:space="preserve">Anil Bhashaveni</t>
  </si>
  <si>
    <t xml:space="preserve">SMSF/KAN/1004</t>
  </si>
  <si>
    <t xml:space="preserve">Anil Kiran V</t>
  </si>
  <si>
    <t xml:space="preserve">SMSF/KAN/0853</t>
  </si>
  <si>
    <t xml:space="preserve">Anju Srivastava</t>
  </si>
  <si>
    <t xml:space="preserve">HET/KAN/1410</t>
  </si>
  <si>
    <t xml:space="preserve">Ankur Naik</t>
  </si>
  <si>
    <t xml:space="preserve">HET/KAN/1369</t>
  </si>
  <si>
    <t xml:space="preserve">Annam Chakravarthi</t>
  </si>
  <si>
    <t xml:space="preserve">SMSF/BMA/0727</t>
  </si>
  <si>
    <t xml:space="preserve">Annati Prasad</t>
  </si>
  <si>
    <t xml:space="preserve">SRC/KAN/0952</t>
  </si>
  <si>
    <t xml:space="preserve">Anshuman Pandey</t>
  </si>
  <si>
    <t xml:space="preserve">SMSF/KAN/0459</t>
  </si>
  <si>
    <t xml:space="preserve">Anusha</t>
  </si>
  <si>
    <t xml:space="preserve">SMSF/TRL/1360</t>
  </si>
  <si>
    <t xml:space="preserve">Anusha Metta</t>
  </si>
  <si>
    <t xml:space="preserve">HET/KAN/1407</t>
  </si>
  <si>
    <t xml:space="preserve">ANDHRA PRADESH</t>
  </si>
  <si>
    <t xml:space="preserve">Anushka Gaur</t>
  </si>
  <si>
    <t xml:space="preserve">HFI/BCT/1461</t>
  </si>
  <si>
    <t xml:space="preserve">Aranganayagam</t>
  </si>
  <si>
    <t xml:space="preserve">SHKJ/KAN/1191</t>
  </si>
  <si>
    <t xml:space="preserve">Arivasagan A</t>
  </si>
  <si>
    <t xml:space="preserve">SMSF/KAN/0219</t>
  </si>
  <si>
    <t xml:space="preserve">Arjun Reddy</t>
  </si>
  <si>
    <t xml:space="preserve">HET/KAN/1138</t>
  </si>
  <si>
    <t xml:space="preserve">Arukala Srinivas</t>
  </si>
  <si>
    <t xml:space="preserve">SMSF/KAN/0009</t>
  </si>
  <si>
    <t xml:space="preserve">Arukala Sunanda</t>
  </si>
  <si>
    <t xml:space="preserve">SMSF/KAN/0658</t>
  </si>
  <si>
    <t xml:space="preserve">Arul.A</t>
  </si>
  <si>
    <t xml:space="preserve">SRCM/TPJ/0540</t>
  </si>
  <si>
    <t xml:space="preserve">TRICHY</t>
  </si>
  <si>
    <t xml:space="preserve">Arumugam</t>
  </si>
  <si>
    <t xml:space="preserve">SRC/KAN/1189</t>
  </si>
  <si>
    <t xml:space="preserve">Aruna Raghavan</t>
  </si>
  <si>
    <t xml:space="preserve">HFI/KAN/0929</t>
  </si>
  <si>
    <t xml:space="preserve">Arvindbhai Parsottambhai Patel</t>
  </si>
  <si>
    <t xml:space="preserve">SRCM/NVS/0008</t>
  </si>
  <si>
    <t xml:space="preserve">Ashish Maheshwrao Nadilla</t>
  </si>
  <si>
    <t xml:space="preserve">SMSF/KAN/0212</t>
  </si>
  <si>
    <t xml:space="preserve">Ashokkumar V</t>
  </si>
  <si>
    <t xml:space="preserve">SMSF/TRL/0729</t>
  </si>
  <si>
    <t xml:space="preserve">Ashruba Pralhad Kangne</t>
  </si>
  <si>
    <t xml:space="preserve">SHKJ/KAN/1174</t>
  </si>
  <si>
    <t xml:space="preserve">Avinash Kumar Singh</t>
  </si>
  <si>
    <t xml:space="preserve">SHKJ/KAN/1188</t>
  </si>
  <si>
    <t xml:space="preserve">Avuala Mallesh</t>
  </si>
  <si>
    <t xml:space="preserve">SMSF/KAN/0265</t>
  </si>
  <si>
    <t xml:space="preserve">Avuthu Sushmitha</t>
  </si>
  <si>
    <t xml:space="preserve">HFI/KAN/1195</t>
  </si>
  <si>
    <t xml:space="preserve">B Mahender</t>
  </si>
  <si>
    <t xml:space="preserve">SMSF/KAN/1082</t>
  </si>
  <si>
    <t xml:space="preserve">B Srikanth</t>
  </si>
  <si>
    <t xml:space="preserve">SMSF/KAN/1083</t>
  </si>
  <si>
    <t xml:space="preserve">B Venktesh</t>
  </si>
  <si>
    <t xml:space="preserve">SMSF/KAN/1018</t>
  </si>
  <si>
    <t xml:space="preserve">Bablu Kumar Matho</t>
  </si>
  <si>
    <t xml:space="preserve">SMSF/KAN/0707</t>
  </si>
  <si>
    <t xml:space="preserve">Badri Prasad</t>
  </si>
  <si>
    <t xml:space="preserve">SRCM/AWR/0010</t>
  </si>
  <si>
    <t xml:space="preserve">Badur Kannan</t>
  </si>
  <si>
    <t xml:space="preserve">HFI/KAN/1239</t>
  </si>
  <si>
    <t xml:space="preserve">Balaji Sivakumar</t>
  </si>
  <si>
    <t xml:space="preserve">SMSF/BMA/1215</t>
  </si>
  <si>
    <t xml:space="preserve">Balakram Malviya</t>
  </si>
  <si>
    <t xml:space="preserve">SRC/KAN/1306</t>
  </si>
  <si>
    <t xml:space="preserve">Balamurugan V</t>
  </si>
  <si>
    <t xml:space="preserve">SRCM/BMA/1126</t>
  </si>
  <si>
    <t xml:space="preserve">Balasubramaniam A</t>
  </si>
  <si>
    <t xml:space="preserve">SMSF/KAN/0654</t>
  </si>
  <si>
    <t xml:space="preserve">Baleshwar Yadav</t>
  </si>
  <si>
    <t xml:space="preserve">SHKJ/KAN/1172</t>
  </si>
  <si>
    <t xml:space="preserve">Bandana Manjunath</t>
  </si>
  <si>
    <t xml:space="preserve">HFI/KAN/1159</t>
  </si>
  <si>
    <t xml:space="preserve">Aaram</t>
  </si>
  <si>
    <t xml:space="preserve">Bandi Kumar</t>
  </si>
  <si>
    <t xml:space="preserve">SHKJ/KAN/1348</t>
  </si>
  <si>
    <t xml:space="preserve">Bandi Narayana</t>
  </si>
  <si>
    <t xml:space="preserve">HFI/KAN/1243</t>
  </si>
  <si>
    <t xml:space="preserve">Banoth Suresh</t>
  </si>
  <si>
    <t xml:space="preserve">SMSF/KAN/0297</t>
  </si>
  <si>
    <t xml:space="preserve">Bekkam Rohit</t>
  </si>
  <si>
    <t xml:space="preserve">SMSF/KAN/0176</t>
  </si>
  <si>
    <t xml:space="preserve">Bharathi Upparapally</t>
  </si>
  <si>
    <t xml:space="preserve">HFI/KAN/1223</t>
  </si>
  <si>
    <t xml:space="preserve">Bharathiraja P</t>
  </si>
  <si>
    <t xml:space="preserve">SHKJ/KAN/0978</t>
  </si>
  <si>
    <t xml:space="preserve">Bhatiya Harshaben Saileshkumar</t>
  </si>
  <si>
    <t xml:space="preserve">HET/BL/1435</t>
  </si>
  <si>
    <t xml:space="preserve">Bhimala Srinivasa Rao</t>
  </si>
  <si>
    <t xml:space="preserve">HET/KAN/1414</t>
  </si>
  <si>
    <t xml:space="preserve">Bhupendra Chuphal</t>
  </si>
  <si>
    <t xml:space="preserve">SRCM/SAT/1110</t>
  </si>
  <si>
    <t xml:space="preserve">Bhushan Keshav Bhukte</t>
  </si>
  <si>
    <t xml:space="preserve">HET/BMA/0909</t>
  </si>
  <si>
    <t xml:space="preserve">Bhuvanesh Yadav</t>
  </si>
  <si>
    <t xml:space="preserve">SHPT/KAN/1301</t>
  </si>
  <si>
    <t xml:space="preserve">Bhuvaneshwari</t>
  </si>
  <si>
    <t xml:space="preserve">HET/KAN/1099</t>
  </si>
  <si>
    <t xml:space="preserve">Bibek Dhar</t>
  </si>
  <si>
    <t xml:space="preserve">HET/KAN/1497</t>
  </si>
  <si>
    <t xml:space="preserve">Birendra Singh</t>
  </si>
  <si>
    <t xml:space="preserve">SMSF/KAN/0198</t>
  </si>
  <si>
    <t xml:space="preserve">Bollu Mallesh</t>
  </si>
  <si>
    <t xml:space="preserve">SHKJ/KAN/1213</t>
  </si>
  <si>
    <t xml:space="preserve">Boologam V</t>
  </si>
  <si>
    <t xml:space="preserve">SRCM/BMA/0012</t>
  </si>
  <si>
    <t xml:space="preserve">Brjesh Kumar</t>
  </si>
  <si>
    <t xml:space="preserve">SRCM/GURU/0336</t>
  </si>
  <si>
    <t xml:space="preserve">DELHI</t>
  </si>
  <si>
    <t xml:space="preserve">Budharaju Sriram</t>
  </si>
  <si>
    <t xml:space="preserve">SHPT/BMA/0107</t>
  </si>
  <si>
    <t xml:space="preserve">Bugga Harikumar</t>
  </si>
  <si>
    <t xml:space="preserve">SMSF/KAN/0224</t>
  </si>
  <si>
    <t xml:space="preserve">Bugga Mallesh</t>
  </si>
  <si>
    <t xml:space="preserve">SMSF/KAN/0437</t>
  </si>
  <si>
    <t xml:space="preserve">Bugga Narender</t>
  </si>
  <si>
    <t xml:space="preserve">SHKJ/KAN/1345</t>
  </si>
  <si>
    <t xml:space="preserve">Bugga Sanjiva</t>
  </si>
  <si>
    <t xml:space="preserve">SHKJ/KAN/1263</t>
  </si>
  <si>
    <t xml:space="preserve">Bugga Suresh</t>
  </si>
  <si>
    <t xml:space="preserve">SHKJ/KAN/1251</t>
  </si>
  <si>
    <t xml:space="preserve">Bugga Vekataiah</t>
  </si>
  <si>
    <t xml:space="preserve">SMSF/KAN/0236</t>
  </si>
  <si>
    <t xml:space="preserve">Burra Ravinder</t>
  </si>
  <si>
    <t xml:space="preserve">SMSF/KAN/0588</t>
  </si>
  <si>
    <t xml:space="preserve">Byrla Balakrishna</t>
  </si>
  <si>
    <t xml:space="preserve">HFI/KAN/1240</t>
  </si>
  <si>
    <t xml:space="preserve">C Mani</t>
  </si>
  <si>
    <t xml:space="preserve">SRCM/BMA/0015</t>
  </si>
  <si>
    <t xml:space="preserve">C N Vragavan</t>
  </si>
  <si>
    <t xml:space="preserve">SMSF/BMA/0468</t>
  </si>
  <si>
    <t xml:space="preserve">C Shruthi</t>
  </si>
  <si>
    <t xml:space="preserve">HET/KAN/1142</t>
  </si>
  <si>
    <t xml:space="preserve">Chakali Arjun</t>
  </si>
  <si>
    <t xml:space="preserve">SMSF/KAN/1045</t>
  </si>
  <si>
    <t xml:space="preserve">Chakali Radha Krishna</t>
  </si>
  <si>
    <t xml:space="preserve">SRC/KAN/0947</t>
  </si>
  <si>
    <t xml:space="preserve">Chakkati Srinivas Reddy</t>
  </si>
  <si>
    <t xml:space="preserve">SMSF/KAN/0442</t>
  </si>
  <si>
    <t xml:space="preserve">Chakravarthi G A</t>
  </si>
  <si>
    <t xml:space="preserve">SHPT/BMA/0258</t>
  </si>
  <si>
    <t xml:space="preserve">Chala Joginaidu</t>
  </si>
  <si>
    <t xml:space="preserve">SMSF/KAN/0210</t>
  </si>
  <si>
    <t xml:space="preserve">Challa Janardhanarao</t>
  </si>
  <si>
    <t xml:space="preserve">HET/KAN/1192</t>
  </si>
  <si>
    <t xml:space="preserve">Chana Ram</t>
  </si>
  <si>
    <t xml:space="preserve">SRC/KAN/0821</t>
  </si>
  <si>
    <t xml:space="preserve">Chandan Kumar</t>
  </si>
  <si>
    <t xml:space="preserve">SMSF/KAN/0842</t>
  </si>
  <si>
    <t xml:space="preserve">Chandra Ballabh Pant</t>
  </si>
  <si>
    <t xml:space="preserve">SRCM/SAT/1115</t>
  </si>
  <si>
    <t xml:space="preserve">Chandra Shekar K</t>
  </si>
  <si>
    <t xml:space="preserve">SMSF/KAN/0132</t>
  </si>
  <si>
    <t xml:space="preserve">Chandraprakasam</t>
  </si>
  <si>
    <t xml:space="preserve">HFI/TRL/1322</t>
  </si>
  <si>
    <t xml:space="preserve">Chandrashekar Goud S</t>
  </si>
  <si>
    <t xml:space="preserve">SMSF/KAN/0924</t>
  </si>
  <si>
    <t xml:space="preserve">Charitra Prakash Pande</t>
  </si>
  <si>
    <t xml:space="preserve">SRCM/SAT/1114</t>
  </si>
  <si>
    <t xml:space="preserve">Chattar Singh Yadav</t>
  </si>
  <si>
    <t xml:space="preserve">SMSF/KAN/1168</t>
  </si>
  <si>
    <t xml:space="preserve">Chelladurai K</t>
  </si>
  <si>
    <t xml:space="preserve">SRCM/BMA/0013</t>
  </si>
  <si>
    <t xml:space="preserve">Chilukuri Krishnaiah</t>
  </si>
  <si>
    <t xml:space="preserve">SMSF/KAN/0237</t>
  </si>
  <si>
    <t xml:space="preserve">Chinnamma</t>
  </si>
  <si>
    <t xml:space="preserve">SRCM/BMA/0014</t>
  </si>
  <si>
    <t xml:space="preserve">Chokkam Suneel</t>
  </si>
  <si>
    <t xml:space="preserve">SMSF/KAN/0913</t>
  </si>
  <si>
    <t xml:space="preserve">D Kumaraswamy</t>
  </si>
  <si>
    <t xml:space="preserve">SRCM/BMA/0021</t>
  </si>
  <si>
    <t xml:space="preserve">D Prashanth</t>
  </si>
  <si>
    <t xml:space="preserve">SMSF/KAN/1084</t>
  </si>
  <si>
    <t xml:space="preserve">D Raja</t>
  </si>
  <si>
    <t xml:space="preserve">SRCM/BMA/0250</t>
  </si>
  <si>
    <t xml:space="preserve">D Sudhakar</t>
  </si>
  <si>
    <t xml:space="preserve">SMSF/KAN/0701</t>
  </si>
  <si>
    <t xml:space="preserve">D.Radha</t>
  </si>
  <si>
    <t xml:space="preserve">SRCM/TUP/0625</t>
  </si>
  <si>
    <t xml:space="preserve">Dabbiru Ravikumar</t>
  </si>
  <si>
    <t xml:space="preserve">SMSF/KAN/0218</t>
  </si>
  <si>
    <t xml:space="preserve">Dakeshwar Satnami</t>
  </si>
  <si>
    <t xml:space="preserve">SMSF/KAN/1036</t>
  </si>
  <si>
    <t xml:space="preserve">Dakka Jayasree</t>
  </si>
  <si>
    <t xml:space="preserve">SMSF/KAN/0910</t>
  </si>
  <si>
    <t xml:space="preserve">Dalavai Sandhya</t>
  </si>
  <si>
    <t xml:space="preserve">SMSF/KAN/0900</t>
  </si>
  <si>
    <t xml:space="preserve">Damini G</t>
  </si>
  <si>
    <t xml:space="preserve">SHKJ/KAN/1165</t>
  </si>
  <si>
    <t xml:space="preserve">Datagalla Naveen</t>
  </si>
  <si>
    <t xml:space="preserve">SMSF/KAN/0185</t>
  </si>
  <si>
    <t xml:space="preserve">Debakant Swain</t>
  </si>
  <si>
    <t xml:space="preserve">SMSF/KAN/0260</t>
  </si>
  <si>
    <t xml:space="preserve">Deepika Suryanarayan Poturaju</t>
  </si>
  <si>
    <t xml:space="preserve">SHPT/KAN/0549</t>
  </si>
  <si>
    <t xml:space="preserve">Deepti Challa</t>
  </si>
  <si>
    <t xml:space="preserve">SRC/KAN/1162</t>
  </si>
  <si>
    <t xml:space="preserve">Denny K B</t>
  </si>
  <si>
    <t xml:space="preserve">SMSF/KAN/0852</t>
  </si>
  <si>
    <t xml:space="preserve">Deva Kumar Nanda</t>
  </si>
  <si>
    <t xml:space="preserve">SHKJ/KAN/1324</t>
  </si>
  <si>
    <t xml:space="preserve">Devika Dhayanadan</t>
  </si>
  <si>
    <t xml:space="preserve">HET/KAN/1424</t>
  </si>
  <si>
    <t xml:space="preserve">Dhananjay Pal</t>
  </si>
  <si>
    <t xml:space="preserve">SMSF/KAN/0700</t>
  </si>
  <si>
    <t xml:space="preserve">Dhaneswari Dhruv</t>
  </si>
  <si>
    <t xml:space="preserve">SRCM/R/0111</t>
  </si>
  <si>
    <t xml:space="preserve">RAIPUR</t>
  </si>
  <si>
    <t xml:space="preserve">Dharanendran Devadass</t>
  </si>
  <si>
    <t xml:space="preserve">SRCM/BMA/0016</t>
  </si>
  <si>
    <t xml:space="preserve">Dharmendra C</t>
  </si>
  <si>
    <t xml:space="preserve">SMSF/KAN/0172</t>
  </si>
  <si>
    <t xml:space="preserve">Dharu Singh Raghuvanshi</t>
  </si>
  <si>
    <t xml:space="preserve">SRCM/INDB/0017</t>
  </si>
  <si>
    <t xml:space="preserve">INDORE</t>
  </si>
  <si>
    <t xml:space="preserve">Dhavalkumar Ashokbhai Patel</t>
  </si>
  <si>
    <t xml:space="preserve">SHKJ/KAN/1210</t>
  </si>
  <si>
    <t xml:space="preserve">Dhokala Ramakrishna</t>
  </si>
  <si>
    <t xml:space="preserve">HFI/KAN/0966</t>
  </si>
  <si>
    <t xml:space="preserve">Dilip</t>
  </si>
  <si>
    <t xml:space="preserve">SRCM/BMA/0019</t>
  </si>
  <si>
    <t xml:space="preserve">Dilip Kumar Patel</t>
  </si>
  <si>
    <t xml:space="preserve">SHKJ/KAN/1078</t>
  </si>
  <si>
    <t xml:space="preserve">Dinesh Bahadur</t>
  </si>
  <si>
    <t xml:space="preserve">SRCM/BMA/0020</t>
  </si>
  <si>
    <t xml:space="preserve">Diptiranjan Biswal</t>
  </si>
  <si>
    <t xml:space="preserve">SHKJ/KAN/0926</t>
  </si>
  <si>
    <t xml:space="preserve">Domala Pavan Kumar</t>
  </si>
  <si>
    <t xml:space="preserve">SMSF/KAN/0684</t>
  </si>
  <si>
    <t xml:space="preserve">Doneparthy Priyansh</t>
  </si>
  <si>
    <t xml:space="preserve">SHKJ/KAN/1394</t>
  </si>
  <si>
    <t xml:space="preserve">Donori Ramesh</t>
  </si>
  <si>
    <t xml:space="preserve">SMSF/KAN/1042</t>
  </si>
  <si>
    <t xml:space="preserve">Donuri Pandaiah</t>
  </si>
  <si>
    <t xml:space="preserve">SMSF/KAN/0140</t>
  </si>
  <si>
    <t xml:space="preserve">Dr. Jayaprasanthi G</t>
  </si>
  <si>
    <t xml:space="preserve">SMSF/BMA/0022</t>
  </si>
  <si>
    <t xml:space="preserve">Dupati Ranga Saitheja</t>
  </si>
  <si>
    <t xml:space="preserve">HFI/KAN/1444</t>
  </si>
  <si>
    <t xml:space="preserve">E Benjamin Thinagaran</t>
  </si>
  <si>
    <t xml:space="preserve">SRCM/BMA/0023</t>
  </si>
  <si>
    <t xml:space="preserve">E N Venkatprasad</t>
  </si>
  <si>
    <t xml:space="preserve">HET/KAN/1420</t>
  </si>
  <si>
    <t xml:space="preserve">Faru</t>
  </si>
  <si>
    <t xml:space="preserve">SMSF/KAN/1047</t>
  </si>
  <si>
    <t xml:space="preserve">G Eswara Rao</t>
  </si>
  <si>
    <t xml:space="preserve">SRC/KAN/1451</t>
  </si>
  <si>
    <t xml:space="preserve">G Janaki</t>
  </si>
  <si>
    <t xml:space="preserve">SRCM/TUP/0735</t>
  </si>
  <si>
    <t xml:space="preserve">G Nandakishore Reddy</t>
  </si>
  <si>
    <t xml:space="preserve">SMSF/KAN/0706</t>
  </si>
  <si>
    <t xml:space="preserve">G Priya Darshini</t>
  </si>
  <si>
    <t xml:space="preserve">HET/KAN/1490</t>
  </si>
  <si>
    <t xml:space="preserve">G Sathyan</t>
  </si>
  <si>
    <t xml:space="preserve">SMSF/KAN/0571</t>
  </si>
  <si>
    <t xml:space="preserve">G Supriya</t>
  </si>
  <si>
    <t xml:space="preserve">SMSF/KAN/1459</t>
  </si>
  <si>
    <t xml:space="preserve">G. Padmanathan</t>
  </si>
  <si>
    <t xml:space="preserve">SMSF/BMA/0311</t>
  </si>
  <si>
    <t xml:space="preserve">G. Purushothaman</t>
  </si>
  <si>
    <t xml:space="preserve">SHKJ/KAN/1357</t>
  </si>
  <si>
    <t xml:space="preserve">G.V.G Charry</t>
  </si>
  <si>
    <t xml:space="preserve">SHKJ/KAN/1076</t>
  </si>
  <si>
    <t xml:space="preserve">Gaddam Siddi Ramulu</t>
  </si>
  <si>
    <t xml:space="preserve">SMSF/KAN/0566</t>
  </si>
  <si>
    <t xml:space="preserve">Gaddamidi Narender</t>
  </si>
  <si>
    <t xml:space="preserve">SMSF/KAN/0181</t>
  </si>
  <si>
    <t xml:space="preserve">Gajalakshmi R</t>
  </si>
  <si>
    <t xml:space="preserve">SMSF/TRL/1015</t>
  </si>
  <si>
    <t xml:space="preserve">Gajanan Udhav Kokate</t>
  </si>
  <si>
    <t xml:space="preserve">SHKJ/KAN/0975</t>
  </si>
  <si>
    <t xml:space="preserve">Gajendra Katara</t>
  </si>
  <si>
    <t xml:space="preserve">SHKJ/KAN/1366</t>
  </si>
  <si>
    <t xml:space="preserve">Gaju Lakshminadh</t>
  </si>
  <si>
    <t xml:space="preserve">SHKJ/KAN/1258</t>
  </si>
  <si>
    <t xml:space="preserve">Gandham Sreelekha</t>
  </si>
  <si>
    <t xml:space="preserve">HET/KAN/1090</t>
  </si>
  <si>
    <t xml:space="preserve">Ganesh Chandra</t>
  </si>
  <si>
    <t xml:space="preserve">SRCM/SAT/1463</t>
  </si>
  <si>
    <t xml:space="preserve">Ganesh Kumar</t>
  </si>
  <si>
    <t xml:space="preserve">SHPT/BMA/0025</t>
  </si>
  <si>
    <t xml:space="preserve">Ganesh Manchala</t>
  </si>
  <si>
    <t xml:space="preserve">HFI/KAN/1244</t>
  </si>
  <si>
    <t xml:space="preserve">Ganga Mahto</t>
  </si>
  <si>
    <t xml:space="preserve">SHKJ/KAN/1346</t>
  </si>
  <si>
    <t xml:space="preserve">Gangadhar Maroti Kokate</t>
  </si>
  <si>
    <t xml:space="preserve">SHKJ/KAN/1173</t>
  </si>
  <si>
    <t xml:space="preserve">Gangavrapu Sreenivasulu</t>
  </si>
  <si>
    <t xml:space="preserve">HET/KAN/1408</t>
  </si>
  <si>
    <t xml:space="preserve">Ganpat Thakur</t>
  </si>
  <si>
    <t xml:space="preserve">SRCM/R/0110</t>
  </si>
  <si>
    <t xml:space="preserve">Ganvit Kamlaben Arjunbhai</t>
  </si>
  <si>
    <t xml:space="preserve">HFI/BL/1314</t>
  </si>
  <si>
    <t xml:space="preserve">Gaurav Singh</t>
  </si>
  <si>
    <t xml:space="preserve">SMSF/KAN/0925</t>
  </si>
  <si>
    <t xml:space="preserve">Gayathri Purnima Penumalla</t>
  </si>
  <si>
    <t xml:space="preserve">SMSF/BMA/0500</t>
  </si>
  <si>
    <t xml:space="preserve">Gayatri Jayaraman</t>
  </si>
  <si>
    <t xml:space="preserve">HFI/KAN/1148</t>
  </si>
  <si>
    <t xml:space="preserve">Geeta Devi</t>
  </si>
  <si>
    <t xml:space="preserve">SMSF/KAN/0663</t>
  </si>
  <si>
    <t xml:space="preserve">Geeta K</t>
  </si>
  <si>
    <t xml:space="preserve">SRCM/BMA/0254</t>
  </si>
  <si>
    <t xml:space="preserve">Geetha A</t>
  </si>
  <si>
    <t xml:space="preserve">SMSF/BMA/0521</t>
  </si>
  <si>
    <t xml:space="preserve">Geetha G</t>
  </si>
  <si>
    <t xml:space="preserve">SRCM/BMA/0027</t>
  </si>
  <si>
    <t xml:space="preserve">Giribabu. Annapaneni</t>
  </si>
  <si>
    <t xml:space="preserve">HFI/KAN/1229</t>
  </si>
  <si>
    <t xml:space="preserve">Girish Kumar Bichkunde</t>
  </si>
  <si>
    <t xml:space="preserve">SRC/KAN/1184</t>
  </si>
  <si>
    <t xml:space="preserve">Gode Siddhant Janardan</t>
  </si>
  <si>
    <t xml:space="preserve">SMSF/KAN/0836</t>
  </si>
  <si>
    <t xml:space="preserve">Gogula Srinivas</t>
  </si>
  <si>
    <t xml:space="preserve">HET/KAN/1419</t>
  </si>
  <si>
    <t xml:space="preserve">Golla Hitya Venkataiah</t>
  </si>
  <si>
    <t xml:space="preserve">SHKJ/KAN/1355</t>
  </si>
  <si>
    <t xml:space="preserve">Gopinath E</t>
  </si>
  <si>
    <t xml:space="preserve">SRCM/BMA/0028</t>
  </si>
  <si>
    <t xml:space="preserve">Gorla Ramesh</t>
  </si>
  <si>
    <t xml:space="preserve">SMSF/KAN/0220</t>
  </si>
  <si>
    <t xml:space="preserve">Gosti Siddulu</t>
  </si>
  <si>
    <t xml:space="preserve">SMSF/KAN/1014</t>
  </si>
  <si>
    <t xml:space="preserve">Gowthaman</t>
  </si>
  <si>
    <t xml:space="preserve">SMSF/KAN/1160</t>
  </si>
  <si>
    <t xml:space="preserve">Gudelli Renuka</t>
  </si>
  <si>
    <t xml:space="preserve">HFI/KAN/1253</t>
  </si>
  <si>
    <t xml:space="preserve">Gugulothu Rajitha</t>
  </si>
  <si>
    <t xml:space="preserve">SHKJ/KAN/1323</t>
  </si>
  <si>
    <t xml:space="preserve">Gummadi Mouna Rekha</t>
  </si>
  <si>
    <t xml:space="preserve">SRC/KAN/1454</t>
  </si>
  <si>
    <t xml:space="preserve">Gunda Pavan Kumar</t>
  </si>
  <si>
    <t xml:space="preserve">HFI/KAN/1232</t>
  </si>
  <si>
    <t xml:space="preserve">Gundala Ramesh</t>
  </si>
  <si>
    <t xml:space="preserve">SMSF/KAN/0590</t>
  </si>
  <si>
    <t xml:space="preserve">Gundala Ravi</t>
  </si>
  <si>
    <t xml:space="preserve">SMSF/KAN/0232</t>
  </si>
  <si>
    <t xml:space="preserve">Gundapogu Narayana</t>
  </si>
  <si>
    <t xml:space="preserve">SMSF/KAN/0209</t>
  </si>
  <si>
    <t xml:space="preserve">Gundpogu Sarojamma</t>
  </si>
  <si>
    <t xml:space="preserve">SMSF/KAN/0661</t>
  </si>
  <si>
    <t xml:space="preserve">Guntuka Prasad</t>
  </si>
  <si>
    <t xml:space="preserve">HFI/KAN/1282</t>
  </si>
  <si>
    <t xml:space="preserve">Gunugurthi Arjunaiah</t>
  </si>
  <si>
    <t xml:space="preserve">SMSF/KAN/0186</t>
  </si>
  <si>
    <t xml:space="preserve">Gunugurthi Bhanu Kalyan</t>
  </si>
  <si>
    <t xml:space="preserve">SRC/KAN/1332</t>
  </si>
  <si>
    <t xml:space="preserve">Gunugurthi Lakshmaiah</t>
  </si>
  <si>
    <t xml:space="preserve">SMSF/KAN/0142</t>
  </si>
  <si>
    <t xml:space="preserve">Gunugurthi Manjula</t>
  </si>
  <si>
    <t xml:space="preserve">SMSF/KAN/0567</t>
  </si>
  <si>
    <t xml:space="preserve">Gurrala Divya Darshan</t>
  </si>
  <si>
    <t xml:space="preserve">HET/KAN/1389</t>
  </si>
  <si>
    <t xml:space="preserve">Gurudayal</t>
  </si>
  <si>
    <t xml:space="preserve">SRCM/NOI/0538</t>
  </si>
  <si>
    <t xml:space="preserve">NOIDA</t>
  </si>
  <si>
    <t xml:space="preserve">Guruprakash</t>
  </si>
  <si>
    <t xml:space="preserve">SMSF/KAN/1064</t>
  </si>
  <si>
    <t xml:space="preserve">Harikaran</t>
  </si>
  <si>
    <t xml:space="preserve">SRC/KAN/1190</t>
  </si>
  <si>
    <t xml:space="preserve">Harikrishnan Deenadhayalan</t>
  </si>
  <si>
    <t xml:space="preserve">HET/KAN/1303</t>
  </si>
  <si>
    <t xml:space="preserve">Harsh Vishwakarma</t>
  </si>
  <si>
    <t xml:space="preserve">HFI/KAN/1056</t>
  </si>
  <si>
    <t xml:space="preserve">Hema Paresh Vetekar</t>
  </si>
  <si>
    <t xml:space="preserve">HFI/BMA/0936</t>
  </si>
  <si>
    <t xml:space="preserve">Hemaben Sanathkumar Bhatt</t>
  </si>
  <si>
    <t xml:space="preserve">HET/BL/1388</t>
  </si>
  <si>
    <t xml:space="preserve">Hemadevi Peri</t>
  </si>
  <si>
    <t xml:space="preserve">HET/BMA/1411</t>
  </si>
  <si>
    <t xml:space="preserve">Hemali Khanna</t>
  </si>
  <si>
    <t xml:space="preserve">HET/KAN/1131</t>
  </si>
  <si>
    <t xml:space="preserve">Himani Nandwana</t>
  </si>
  <si>
    <t xml:space="preserve">HFI/KAN/1147</t>
  </si>
  <si>
    <t xml:space="preserve">Hingarajiya Shilpaben Parbatbhai</t>
  </si>
  <si>
    <t xml:space="preserve">HET/KAN/1438</t>
  </si>
  <si>
    <t xml:space="preserve">Hitesh Shivprasad Bhatt</t>
  </si>
  <si>
    <t xml:space="preserve">SRC/KAN/0811</t>
  </si>
  <si>
    <t xml:space="preserve">I Jayarani</t>
  </si>
  <si>
    <t xml:space="preserve">SMSF/TRL/0408</t>
  </si>
  <si>
    <t xml:space="preserve">Indal Chaupal</t>
  </si>
  <si>
    <t xml:space="preserve">SRC/KAN/1325</t>
  </si>
  <si>
    <t xml:space="preserve">Indu Navalsinh Jahla</t>
  </si>
  <si>
    <t xml:space="preserve">SRC/KAN/0812</t>
  </si>
  <si>
    <t xml:space="preserve">Ishwari Datt Pandey</t>
  </si>
  <si>
    <t xml:space="preserve">SRCM/SAT/1111</t>
  </si>
  <si>
    <t xml:space="preserve">J Manjula</t>
  </si>
  <si>
    <t xml:space="preserve">SMSF/KAN/1028</t>
  </si>
  <si>
    <t xml:space="preserve">J Sathya</t>
  </si>
  <si>
    <t xml:space="preserve">SMSF/BMA/0495</t>
  </si>
  <si>
    <t xml:space="preserve">Jagadeesan P</t>
  </si>
  <si>
    <t xml:space="preserve">SRCM/BMA/0030</t>
  </si>
  <si>
    <t xml:space="preserve">Jagan Kumar</t>
  </si>
  <si>
    <t xml:space="preserve">SMSF/BMA/0483</t>
  </si>
  <si>
    <t xml:space="preserve">Jagat Ingti</t>
  </si>
  <si>
    <t xml:space="preserve">SMSF/KAN/1046</t>
  </si>
  <si>
    <t xml:space="preserve">Jaikishan</t>
  </si>
  <si>
    <t xml:space="preserve">SRC/KAN/1470</t>
  </si>
  <si>
    <t xml:space="preserve">Jalagudam Lingam</t>
  </si>
  <si>
    <t xml:space="preserve">SHKJ/KAN/1265</t>
  </si>
  <si>
    <t xml:space="preserve">Jallagalla Guraiah</t>
  </si>
  <si>
    <t xml:space="preserve">SRCM/HX/0536</t>
  </si>
  <si>
    <t xml:space="preserve">CUDDAPAH</t>
  </si>
  <si>
    <t xml:space="preserve">Jallagudem Manikyam</t>
  </si>
  <si>
    <t xml:space="preserve">SHKJ/KAN/1279</t>
  </si>
  <si>
    <t xml:space="preserve">Janagam Vinay Kumar</t>
  </si>
  <si>
    <t xml:space="preserve">SHKJ/KAN/1335</t>
  </si>
  <si>
    <t xml:space="preserve">Jayakumar Parthasarathy</t>
  </si>
  <si>
    <t xml:space="preserve">SHPT/BMA/0267</t>
  </si>
  <si>
    <t xml:space="preserve">Jayanthi M</t>
  </si>
  <si>
    <t xml:space="preserve">SRCM/BMA/0032</t>
  </si>
  <si>
    <t xml:space="preserve">Jayasuriya T En</t>
  </si>
  <si>
    <t xml:space="preserve">SMSF/KAN/0153</t>
  </si>
  <si>
    <t xml:space="preserve">Jaykishan</t>
  </si>
  <si>
    <t xml:space="preserve">SRC/KAN/1305</t>
  </si>
  <si>
    <t xml:space="preserve">Jayshree Anil Bhatt</t>
  </si>
  <si>
    <t xml:space="preserve">HFI/KAN/1238</t>
  </si>
  <si>
    <t xml:space="preserve">Jeeva E</t>
  </si>
  <si>
    <t xml:space="preserve">SMSF/TRL/0404</t>
  </si>
  <si>
    <t xml:space="preserve">Jetendra. V</t>
  </si>
  <si>
    <t xml:space="preserve">SHPT/BMA/1002</t>
  </si>
  <si>
    <t xml:space="preserve">Jevan Singh</t>
  </si>
  <si>
    <t xml:space="preserve">SMSF/KAN/0203</t>
  </si>
  <si>
    <t xml:space="preserve">Jeyachandran V</t>
  </si>
  <si>
    <t xml:space="preserve">SMSF/KAN/0391</t>
  </si>
  <si>
    <t xml:space="preserve">Jitendra Bhardwaj</t>
  </si>
  <si>
    <t xml:space="preserve">SMSF/KAN/0872</t>
  </si>
  <si>
    <t xml:space="preserve">Jitendra R</t>
  </si>
  <si>
    <t xml:space="preserve">SRCM/BMA/0316</t>
  </si>
  <si>
    <t xml:space="preserve">Jitendra Singh</t>
  </si>
  <si>
    <t xml:space="preserve">SMSF/KAN/0262</t>
  </si>
  <si>
    <t xml:space="preserve">Jitendra Verma</t>
  </si>
  <si>
    <t xml:space="preserve">SMSF/KAN/0177</t>
  </si>
  <si>
    <t xml:space="preserve">Jothi Lakshmi K</t>
  </si>
  <si>
    <t xml:space="preserve">SRCM/BMA/0733</t>
  </si>
  <si>
    <t xml:space="preserve">Joydip Das</t>
  </si>
  <si>
    <t xml:space="preserve">SMSF/KAN/0581</t>
  </si>
  <si>
    <t xml:space="preserve">Jugnak Jangu</t>
  </si>
  <si>
    <t xml:space="preserve">SMSF/KAN/0583</t>
  </si>
  <si>
    <t xml:space="preserve">Juhi Shah</t>
  </si>
  <si>
    <t xml:space="preserve">SMSF/KOAA/0556</t>
  </si>
  <si>
    <t xml:space="preserve">Jyothi G</t>
  </si>
  <si>
    <t xml:space="preserve">HFI/KAN/1376</t>
  </si>
  <si>
    <t xml:space="preserve">BANGALORE</t>
  </si>
  <si>
    <t xml:space="preserve">Jyothi R</t>
  </si>
  <si>
    <t xml:space="preserve">SRCM/BMA/0034</t>
  </si>
  <si>
    <t xml:space="preserve">Jyothi Singh</t>
  </si>
  <si>
    <t xml:space="preserve">HFI/KAN/1489</t>
  </si>
  <si>
    <t xml:space="preserve">Jyoti Misra</t>
  </si>
  <si>
    <t xml:space="preserve">HET/KAN/1405</t>
  </si>
  <si>
    <t xml:space="preserve">K Devapriya</t>
  </si>
  <si>
    <t xml:space="preserve">SHKJ/KAN/1019</t>
  </si>
  <si>
    <t xml:space="preserve">K Divya Jyothi</t>
  </si>
  <si>
    <t xml:space="preserve">HET/KAN/1491</t>
  </si>
  <si>
    <t xml:space="preserve">K Konda Babu</t>
  </si>
  <si>
    <t xml:space="preserve">SRC/KAN/0950</t>
  </si>
  <si>
    <t xml:space="preserve">K Kumari</t>
  </si>
  <si>
    <t xml:space="preserve">SMSF/TRL/0732</t>
  </si>
  <si>
    <t xml:space="preserve">K Monickavasagom</t>
  </si>
  <si>
    <t xml:space="preserve">SMSF/KAN/0711</t>
  </si>
  <si>
    <t xml:space="preserve">K Padmalatha</t>
  </si>
  <si>
    <t xml:space="preserve">SMSF/KAN/0837</t>
  </si>
  <si>
    <t xml:space="preserve">K Pandurangarao</t>
  </si>
  <si>
    <t xml:space="preserve">SRC/KAN/0903</t>
  </si>
  <si>
    <t xml:space="preserve">K Paramesh</t>
  </si>
  <si>
    <t xml:space="preserve">SMSF/KAN/0399</t>
  </si>
  <si>
    <t xml:space="preserve">K Rajesh</t>
  </si>
  <si>
    <t xml:space="preserve">SMSF/KAN/0702</t>
  </si>
  <si>
    <t xml:space="preserve">K Rajesh Babu</t>
  </si>
  <si>
    <t xml:space="preserve">HET/KAN/1402</t>
  </si>
  <si>
    <t xml:space="preserve">K Sakthi Prakash</t>
  </si>
  <si>
    <t xml:space="preserve">SMSF/KAN/0122</t>
  </si>
  <si>
    <t xml:space="preserve">K Spandana</t>
  </si>
  <si>
    <t xml:space="preserve">SHKJ/KAN/1074</t>
  </si>
  <si>
    <t xml:space="preserve">K Surender Babu</t>
  </si>
  <si>
    <t xml:space="preserve">SMSF/TRL/1277</t>
  </si>
  <si>
    <t xml:space="preserve">K Suresh</t>
  </si>
  <si>
    <t xml:space="preserve">SMSF/KAN/0173</t>
  </si>
  <si>
    <t xml:space="preserve">K. Sivaguru</t>
  </si>
  <si>
    <t xml:space="preserve">SHPT/BMA/0618</t>
  </si>
  <si>
    <t xml:space="preserve">K.Bavithran</t>
  </si>
  <si>
    <t xml:space="preserve">SMSF/KAN/1085</t>
  </si>
  <si>
    <t xml:space="preserve">K.Dhanaraj</t>
  </si>
  <si>
    <t xml:space="preserve">SRCM/TUP/0624</t>
  </si>
  <si>
    <t xml:space="preserve">K.Padmanabhan</t>
  </si>
  <si>
    <t xml:space="preserve">SMSF/BMA/0647</t>
  </si>
  <si>
    <t xml:space="preserve">Kadakatla Raju</t>
  </si>
  <si>
    <t xml:space="preserve">SMSF/KAN/0568</t>
  </si>
  <si>
    <t xml:space="preserve">Kadiveti Sudeep Reddy</t>
  </si>
  <si>
    <t xml:space="preserve">HET/BMA/0753</t>
  </si>
  <si>
    <t xml:space="preserve">Kailash Khuntia</t>
  </si>
  <si>
    <t xml:space="preserve">SMSF/KAN/0392</t>
  </si>
  <si>
    <t xml:space="preserve">Kalavathi Devi Mukesh</t>
  </si>
  <si>
    <t xml:space="preserve">SRCM/BMA/0035</t>
  </si>
  <si>
    <t xml:space="preserve">Kamakshi S</t>
  </si>
  <si>
    <t xml:space="preserve">HFI/KAN/0933</t>
  </si>
  <si>
    <t xml:space="preserve">Kamal Raj S</t>
  </si>
  <si>
    <t xml:space="preserve">SRCM/BMA/1256</t>
  </si>
  <si>
    <t xml:space="preserve">Kamaraj G</t>
  </si>
  <si>
    <t xml:space="preserve">SMSF/KAN/0213</t>
  </si>
  <si>
    <t xml:space="preserve">Kamlesh Kumar</t>
  </si>
  <si>
    <t xml:space="preserve">SMSF/KAN/0208</t>
  </si>
  <si>
    <t xml:space="preserve">Kanaka Durga D</t>
  </si>
  <si>
    <t xml:space="preserve">SMSF/BMA/0449</t>
  </si>
  <si>
    <t xml:space="preserve">Kanakavalli Vijaya Lakshmi</t>
  </si>
  <si>
    <t xml:space="preserve">SHKJ/KAN/1087</t>
  </si>
  <si>
    <t xml:space="preserve">Kanaram</t>
  </si>
  <si>
    <t xml:space="preserve">SRCM/BMA/0613</t>
  </si>
  <si>
    <t xml:space="preserve">Kandula Bharthi Sriramya</t>
  </si>
  <si>
    <t xml:space="preserve">SHKJ/KAN/1077</t>
  </si>
  <si>
    <t xml:space="preserve">Kandula Satyavani</t>
  </si>
  <si>
    <t xml:space="preserve">SRC/KAN/0956</t>
  </si>
  <si>
    <t xml:space="preserve">Kannan N</t>
  </si>
  <si>
    <t xml:space="preserve">SRCM/KNJ/0036</t>
  </si>
  <si>
    <t xml:space="preserve">Karan Kumar</t>
  </si>
  <si>
    <t xml:space="preserve">SMSF/KAN/0918</t>
  </si>
  <si>
    <t xml:space="preserve">Kare Teja Kumar</t>
  </si>
  <si>
    <t xml:space="preserve">SHKJ/KAN/1347</t>
  </si>
  <si>
    <t xml:space="preserve">Karre Ganesh</t>
  </si>
  <si>
    <t xml:space="preserve">SMSF/KAN/0441</t>
  </si>
  <si>
    <t xml:space="preserve">Karthik M</t>
  </si>
  <si>
    <t xml:space="preserve">SMSF/KAN/0393</t>
  </si>
  <si>
    <t xml:space="preserve">Karthik Srinivasmurthy</t>
  </si>
  <si>
    <t xml:space="preserve">SMSF/KAN/0889</t>
  </si>
  <si>
    <t xml:space="preserve">Karthikeyen G</t>
  </si>
  <si>
    <t xml:space="preserve">SHKJ/KAN/1365</t>
  </si>
  <si>
    <t xml:space="preserve">Katna Sidhu</t>
  </si>
  <si>
    <t xml:space="preserve">SMSF/KAN/1041</t>
  </si>
  <si>
    <t xml:space="preserve">Katta Uday Teja</t>
  </si>
  <si>
    <t xml:space="preserve">SHKJ/KAN/1261</t>
  </si>
  <si>
    <t xml:space="preserve">Kausal Kishore</t>
  </si>
  <si>
    <t xml:space="preserve">SMSF/KAN/0721</t>
  </si>
  <si>
    <t xml:space="preserve">Kaushlendra Kumar Prabhakar</t>
  </si>
  <si>
    <t xml:space="preserve">SHKJ/KAN/0892</t>
  </si>
  <si>
    <t xml:space="preserve">Kavitha D L</t>
  </si>
  <si>
    <t xml:space="preserve">SRCM/SBC/1070</t>
  </si>
  <si>
    <t xml:space="preserve">Kesaram Srinivas</t>
  </si>
  <si>
    <t xml:space="preserve">SHKJ/KAN/1293</t>
  </si>
  <si>
    <t xml:space="preserve">Kethavath Sardar</t>
  </si>
  <si>
    <t xml:space="preserve">HFI/KAN/1052</t>
  </si>
  <si>
    <t xml:space="preserve">Khushpreet Kaur</t>
  </si>
  <si>
    <t xml:space="preserve">HET/KAN/1510</t>
  </si>
  <si>
    <t xml:space="preserve">Killampalli Vinodh Kumar</t>
  </si>
  <si>
    <t xml:space="preserve">SMSF/KAN/0452</t>
  </si>
  <si>
    <t xml:space="preserve">Kingshuk Chakravorty</t>
  </si>
  <si>
    <t xml:space="preserve">SMSF/KOAA/0555</t>
  </si>
  <si>
    <t xml:space="preserve">Kirubanithy. R</t>
  </si>
  <si>
    <t xml:space="preserve">SHPT/BMA/0359</t>
  </si>
  <si>
    <t xml:space="preserve">Kishore Sabbu</t>
  </si>
  <si>
    <t xml:space="preserve">SMSF/KAN/1483</t>
  </si>
  <si>
    <t xml:space="preserve">Kodem Iswarya</t>
  </si>
  <si>
    <t xml:space="preserve">HFI/KAN/1254</t>
  </si>
  <si>
    <t xml:space="preserve">Kodiripaka Ravi Kumar</t>
  </si>
  <si>
    <t xml:space="preserve">SMSF/KAN/0170</t>
  </si>
  <si>
    <t xml:space="preserve">Konda Gopi</t>
  </si>
  <si>
    <t xml:space="preserve">AAR/KAN/1481</t>
  </si>
  <si>
    <t xml:space="preserve">Kongari Balraj</t>
  </si>
  <si>
    <t xml:space="preserve">SMSF/KAN/0189</t>
  </si>
  <si>
    <t xml:space="preserve">Kongari Sreenu</t>
  </si>
  <si>
    <t xml:space="preserve">SMSF/KAN/0180</t>
  </si>
  <si>
    <t xml:space="preserve">Kongari Yadhagiri</t>
  </si>
  <si>
    <t xml:space="preserve">SMSF/KAN/0238</t>
  </si>
  <si>
    <t xml:space="preserve">Kotilinga Reddy B</t>
  </si>
  <si>
    <t xml:space="preserve">SHKJ/KAN/1292</t>
  </si>
  <si>
    <t xml:space="preserve">Kousik Datta</t>
  </si>
  <si>
    <t xml:space="preserve">SHKJ/KAN/1259</t>
  </si>
  <si>
    <t xml:space="preserve">Krishna Samy</t>
  </si>
  <si>
    <t xml:space="preserve">SMSF/TUP/0413</t>
  </si>
  <si>
    <t xml:space="preserve">Krishnaiah K</t>
  </si>
  <si>
    <t xml:space="preserve">SRCM/BMA/0304</t>
  </si>
  <si>
    <t xml:space="preserve">Krishnakant Rajaram Parpalli</t>
  </si>
  <si>
    <t xml:space="preserve">SRCM/BCT/0766</t>
  </si>
  <si>
    <t xml:space="preserve">Krishnapal Singh Kashyap</t>
  </si>
  <si>
    <t xml:space="preserve">SMSF/BMA/0493</t>
  </si>
  <si>
    <t xml:space="preserve">Kriti Singh</t>
  </si>
  <si>
    <t xml:space="preserve">SHKJ/KAN/1057</t>
  </si>
  <si>
    <t xml:space="preserve">Kula Sekhar Pulluru</t>
  </si>
  <si>
    <t xml:space="preserve">HET/KAN/1403</t>
  </si>
  <si>
    <t xml:space="preserve">Kumarakrishnan</t>
  </si>
  <si>
    <t xml:space="preserve">SRCM/BMA/0043</t>
  </si>
  <si>
    <t xml:space="preserve">Kummari Arun</t>
  </si>
  <si>
    <t xml:space="preserve">SHKJ/KAN/1170</t>
  </si>
  <si>
    <t xml:space="preserve">Kummari Kavitha</t>
  </si>
  <si>
    <t xml:space="preserve">SRC/KAN/1151</t>
  </si>
  <si>
    <t xml:space="preserve">Kummari Pandu</t>
  </si>
  <si>
    <t xml:space="preserve">SMSF/KAN/0443</t>
  </si>
  <si>
    <t xml:space="preserve">Kunapuli Padmavathi</t>
  </si>
  <si>
    <t xml:space="preserve">HET/KAN/1412</t>
  </si>
  <si>
    <t xml:space="preserve">Kunwar Singh</t>
  </si>
  <si>
    <t xml:space="preserve">SRC/KAN/1163</t>
  </si>
  <si>
    <t xml:space="preserve">Kuppuraj Shanmugam</t>
  </si>
  <si>
    <t xml:space="preserve">SMSF/KAN/0457</t>
  </si>
  <si>
    <t xml:space="preserve">Kuppuswamy N</t>
  </si>
  <si>
    <t xml:space="preserve">SRCM/BMA/0323</t>
  </si>
  <si>
    <t xml:space="preserve">Kuruva Anand</t>
  </si>
  <si>
    <t xml:space="preserve">SRCM/BMA/0044</t>
  </si>
  <si>
    <t xml:space="preserve">Kushal Ji Seth</t>
  </si>
  <si>
    <t xml:space="preserve">SRC/KAN/1458</t>
  </si>
  <si>
    <t xml:space="preserve">Kusum Kashyap</t>
  </si>
  <si>
    <t xml:space="preserve">SRCM/BMA/0045</t>
  </si>
  <si>
    <t xml:space="preserve">Kusuma Golla</t>
  </si>
  <si>
    <t xml:space="preserve">SRCM/BMA/0257</t>
  </si>
  <si>
    <t xml:space="preserve">Kyavarsu Padmavathi</t>
  </si>
  <si>
    <t xml:space="preserve">HET/KAN/1409</t>
  </si>
  <si>
    <t xml:space="preserve">Lachaiah Laxman Bongani</t>
  </si>
  <si>
    <t xml:space="preserve">HFI/KAN/1441</t>
  </si>
  <si>
    <t xml:space="preserve">Lakshmi Badhi</t>
  </si>
  <si>
    <t xml:space="preserve">SMSF/TRL/0376</t>
  </si>
  <si>
    <t xml:space="preserve">Lakshmi S</t>
  </si>
  <si>
    <t xml:space="preserve">SMSF/TRL/0728</t>
  </si>
  <si>
    <t xml:space="preserve">Lakshmi Singh</t>
  </si>
  <si>
    <t xml:space="preserve">SMSF/KAN/1033</t>
  </si>
  <si>
    <t xml:space="preserve">Lalit Chaupal</t>
  </si>
  <si>
    <t xml:space="preserve">SRC/KAN/1329</t>
  </si>
  <si>
    <t xml:space="preserve">Linga Raj P</t>
  </si>
  <si>
    <t xml:space="preserve">SMSF/KAN/0598</t>
  </si>
  <si>
    <t xml:space="preserve">Lingam Chilikuri</t>
  </si>
  <si>
    <t xml:space="preserve">SMSF/KAN/0230</t>
  </si>
  <si>
    <t xml:space="preserve">Lokeshwari E</t>
  </si>
  <si>
    <t xml:space="preserve">SMSF/BMA/1468</t>
  </si>
  <si>
    <t xml:space="preserve">Lokeswara Reddy</t>
  </si>
  <si>
    <t xml:space="preserve">SHPT/BMA/0046</t>
  </si>
  <si>
    <t xml:space="preserve">Lola M.P</t>
  </si>
  <si>
    <t xml:space="preserve">SHPT/BMA/0290</t>
  </si>
  <si>
    <t xml:space="preserve">M A Raghavan</t>
  </si>
  <si>
    <t xml:space="preserve">SRCM/BMA/0614</t>
  </si>
  <si>
    <t xml:space="preserve">M D Saber</t>
  </si>
  <si>
    <t xml:space="preserve">SMSF/KAN/1040</t>
  </si>
  <si>
    <t xml:space="preserve">M Dhana Lakshmi</t>
  </si>
  <si>
    <t xml:space="preserve">SRC/KAN/0949</t>
  </si>
  <si>
    <t xml:space="preserve">M Lakahmaiah</t>
  </si>
  <si>
    <t xml:space="preserve">SMSF/KAN/0239</t>
  </si>
  <si>
    <t xml:space="preserve">M Lavanya</t>
  </si>
  <si>
    <t xml:space="preserve">HFI/KAN/1247</t>
  </si>
  <si>
    <t xml:space="preserve">M Madhavan</t>
  </si>
  <si>
    <t xml:space="preserve">SRCM/BMA/0301</t>
  </si>
  <si>
    <t xml:space="preserve">M Nagarajan</t>
  </si>
  <si>
    <t xml:space="preserve">SHKJ/KAN/1193</t>
  </si>
  <si>
    <t xml:space="preserve">M Phanindra Kumar</t>
  </si>
  <si>
    <t xml:space="preserve">SRC/KAN/0951</t>
  </si>
  <si>
    <t xml:space="preserve">M Prabha</t>
  </si>
  <si>
    <t xml:space="preserve">SMSF/TRL/0407</t>
  </si>
  <si>
    <t xml:space="preserve">M Sangeetha</t>
  </si>
  <si>
    <t xml:space="preserve">SHKJ/KAN/1455</t>
  </si>
  <si>
    <t xml:space="preserve">M Savitha</t>
  </si>
  <si>
    <t xml:space="preserve">HFI/KAN/1404</t>
  </si>
  <si>
    <t xml:space="preserve">M Sivaraj</t>
  </si>
  <si>
    <t xml:space="preserve">SRCM/BMA/0053</t>
  </si>
  <si>
    <t xml:space="preserve">M. Keshava Reddy</t>
  </si>
  <si>
    <t xml:space="preserve">SHPT/KAN/0481</t>
  </si>
  <si>
    <t xml:space="preserve">M. Vinod Kumar</t>
  </si>
  <si>
    <t xml:space="preserve">SHPT/BMA/0269</t>
  </si>
  <si>
    <t xml:space="preserve">M.Arumuga Thai</t>
  </si>
  <si>
    <t xml:space="preserve">SRCM/TUP/0631</t>
  </si>
  <si>
    <t xml:space="preserve">M.Sathya Shanmuga Priya</t>
  </si>
  <si>
    <t xml:space="preserve">SHKJ/KAN/1017</t>
  </si>
  <si>
    <t xml:space="preserve">M.V.Sreenivasan</t>
  </si>
  <si>
    <t xml:space="preserve">SRCM/SAT/1112</t>
  </si>
  <si>
    <t xml:space="preserve">Macharla Priyanka</t>
  </si>
  <si>
    <t xml:space="preserve">SMSF/KAN/1268</t>
  </si>
  <si>
    <t xml:space="preserve">Macharla Sairam</t>
  </si>
  <si>
    <t xml:space="preserve">SHKJ/KAN/1367</t>
  </si>
  <si>
    <t xml:space="preserve">Madamanchi Sateesh</t>
  </si>
  <si>
    <t xml:space="preserve">SHKJ/KAN/1152</t>
  </si>
  <si>
    <t xml:space="preserve">Madan Lal</t>
  </si>
  <si>
    <t xml:space="preserve">SRCM/SAT/1467</t>
  </si>
  <si>
    <t xml:space="preserve">Madasu Manmadha Rao</t>
  </si>
  <si>
    <t xml:space="preserve">HFI/KAN/0963</t>
  </si>
  <si>
    <t xml:space="preserve">Madasu Ravi Subhashvital</t>
  </si>
  <si>
    <t xml:space="preserve">SMSF/KAN/1198</t>
  </si>
  <si>
    <t xml:space="preserve">Madavi Shambu</t>
  </si>
  <si>
    <t xml:space="preserve">SMSF/KAN/0138</t>
  </si>
  <si>
    <t xml:space="preserve">Madeswaran P</t>
  </si>
  <si>
    <t xml:space="preserve">SRCM/BMA/0309</t>
  </si>
  <si>
    <t xml:space="preserve">Madhan Mohan</t>
  </si>
  <si>
    <t xml:space="preserve">SMSF/KAN/0831</t>
  </si>
  <si>
    <t xml:space="preserve">Madhavi Latha B</t>
  </si>
  <si>
    <t xml:space="preserve">SHKJ/KAN/1457</t>
  </si>
  <si>
    <t xml:space="preserve">Madhavi Ravi</t>
  </si>
  <si>
    <t xml:space="preserve">HET/KAN/1132</t>
  </si>
  <si>
    <t xml:space="preserve">Madhu Tamarala</t>
  </si>
  <si>
    <t xml:space="preserve">SMSF/KAN/0216</t>
  </si>
  <si>
    <t xml:space="preserve">Maharaj Singh</t>
  </si>
  <si>
    <t xml:space="preserve">SMSF/KAN/1129</t>
  </si>
  <si>
    <t xml:space="preserve">Mahendranath Yadav</t>
  </si>
  <si>
    <t xml:space="preserve">SHKJ/KAN/1291</t>
  </si>
  <si>
    <t xml:space="preserve">Mahesh Kabidayal</t>
  </si>
  <si>
    <t xml:space="preserve">SRCM/SAT/0507</t>
  </si>
  <si>
    <t xml:space="preserve">Mahesh Kumar Manji</t>
  </si>
  <si>
    <t xml:space="preserve">SMSF/KAN/1011</t>
  </si>
  <si>
    <t xml:space="preserve">Mahimadas E</t>
  </si>
  <si>
    <t xml:space="preserve">SRCM/BMA/0047</t>
  </si>
  <si>
    <t xml:space="preserve">Makhan Lal</t>
  </si>
  <si>
    <t xml:space="preserve">SHKJ/KAN/1262</t>
  </si>
  <si>
    <t xml:space="preserve">Mallapuram Srikanth</t>
  </si>
  <si>
    <t xml:space="preserve">SMSF/KAN/0190</t>
  </si>
  <si>
    <t xml:space="preserve">Mallikarjun</t>
  </si>
  <si>
    <t xml:space="preserve">SHKJ/KAN/1187</t>
  </si>
  <si>
    <t xml:space="preserve">Mamindla Vimala</t>
  </si>
  <si>
    <t xml:space="preserve">SMSF/KAN/1302</t>
  </si>
  <si>
    <t xml:space="preserve">Mamta Nainwal</t>
  </si>
  <si>
    <t xml:space="preserve">HET/KAN/1495</t>
  </si>
  <si>
    <t xml:space="preserve">Mamtha V</t>
  </si>
  <si>
    <t xml:space="preserve">SRCM/BMA/1377</t>
  </si>
  <si>
    <t xml:space="preserve">Man Singh</t>
  </si>
  <si>
    <t xml:space="preserve">SRC/KAN/1120</t>
  </si>
  <si>
    <t xml:space="preserve">Manas Som</t>
  </si>
  <si>
    <t xml:space="preserve">SRC/KAN/1339</t>
  </si>
  <si>
    <t xml:space="preserve">Manasa Priyanka Kandula</t>
  </si>
  <si>
    <t xml:space="preserve">SRC/KAN/1150</t>
  </si>
  <si>
    <t xml:space="preserve">Mandapalli Naveen Kumar</t>
  </si>
  <si>
    <t xml:space="preserve">SMSF/KAN/0778</t>
  </si>
  <si>
    <t xml:space="preserve">Mangilal Sharma</t>
  </si>
  <si>
    <t xml:space="preserve">SMSF/KAN/0175</t>
  </si>
  <si>
    <t xml:space="preserve">Manikandan</t>
  </si>
  <si>
    <t xml:space="preserve">SMSF/KAN/0719</t>
  </si>
  <si>
    <t xml:space="preserve">Manikandan S</t>
  </si>
  <si>
    <t xml:space="preserve">SMSF/KAN/0381</t>
  </si>
  <si>
    <t xml:space="preserve">Manimegalai M</t>
  </si>
  <si>
    <t xml:space="preserve">SRCM/BMA/0313</t>
  </si>
  <si>
    <t xml:space="preserve">Manish</t>
  </si>
  <si>
    <t xml:space="preserve">SMSF/KAN/1081</t>
  </si>
  <si>
    <t xml:space="preserve">Manisha Singh</t>
  </si>
  <si>
    <t xml:space="preserve">HET/KAN/1094</t>
  </si>
  <si>
    <t xml:space="preserve">Manisha Vats</t>
  </si>
  <si>
    <t xml:space="preserve">HET/KAN/1155</t>
  </si>
  <si>
    <t xml:space="preserve">Manivannan Rathinam</t>
  </si>
  <si>
    <t xml:space="preserve">HFI/KAN/1236</t>
  </si>
  <si>
    <t xml:space="preserve">Manjeet Kumar Maurya</t>
  </si>
  <si>
    <t xml:space="preserve">SMSF/KAN/0589</t>
  </si>
  <si>
    <t xml:space="preserve">Manju Singh</t>
  </si>
  <si>
    <t xml:space="preserve">SRCM/BMA/1088</t>
  </si>
  <si>
    <t xml:space="preserve">Manjunath J P</t>
  </si>
  <si>
    <t xml:space="preserve">SHKJ/KAN/1372</t>
  </si>
  <si>
    <t xml:space="preserve">Manka Mallesh</t>
  </si>
  <si>
    <t xml:space="preserve">SMSF/KAN/0438</t>
  </si>
  <si>
    <t xml:space="preserve">Manka Rajamani</t>
  </si>
  <si>
    <t xml:space="preserve">SMSF/KAN/1285</t>
  </si>
  <si>
    <t xml:space="preserve">Mankala Yadaiah</t>
  </si>
  <si>
    <t xml:space="preserve">SMSF/KAN/0225</t>
  </si>
  <si>
    <t xml:space="preserve">Mannu Rajbhar</t>
  </si>
  <si>
    <t xml:space="preserve">SHKJ/KAN/1176</t>
  </si>
  <si>
    <t xml:space="preserve">Manoj Baldev Yadav</t>
  </si>
  <si>
    <t xml:space="preserve">SHKJ/KAN/1350</t>
  </si>
  <si>
    <t xml:space="preserve">Manoj Singh</t>
  </si>
  <si>
    <t xml:space="preserve">SMSF/KAN/0382</t>
  </si>
  <si>
    <t xml:space="preserve">Manoranjani</t>
  </si>
  <si>
    <t xml:space="preserve">SHPT/BMA/0998</t>
  </si>
  <si>
    <t xml:space="preserve">Manu Khanna</t>
  </si>
  <si>
    <t xml:space="preserve">HFI/KAN/1375</t>
  </si>
  <si>
    <t xml:space="preserve">Marimuthu</t>
  </si>
  <si>
    <t xml:space="preserve">SRCM/KRR/0644</t>
  </si>
  <si>
    <t xml:space="preserve">KARUR</t>
  </si>
  <si>
    <t xml:space="preserve">Maulik Mahesh Ranpura</t>
  </si>
  <si>
    <t xml:space="preserve">SMSF/KAN/0154</t>
  </si>
  <si>
    <t xml:space="preserve">Meenakshi</t>
  </si>
  <si>
    <t xml:space="preserve">SMSF/BMA/1469</t>
  </si>
  <si>
    <t xml:space="preserve">Megha Jain</t>
  </si>
  <si>
    <t xml:space="preserve">SMSF/KAN/1449</t>
  </si>
  <si>
    <t xml:space="preserve">Mithalesh Patel</t>
  </si>
  <si>
    <t xml:space="preserve">SRC/KAN/1452</t>
  </si>
  <si>
    <t xml:space="preserve">Mohammad Shaker R</t>
  </si>
  <si>
    <t xml:space="preserve">SMSF/KAN/0395</t>
  </si>
  <si>
    <t xml:space="preserve">Mohammed Basha Gandlapenta</t>
  </si>
  <si>
    <t xml:space="preserve">SMSF/KAN/0564</t>
  </si>
  <si>
    <t xml:space="preserve">Mohammed Jahangeer</t>
  </si>
  <si>
    <t xml:space="preserve">SMSF/KAN/0147</t>
  </si>
  <si>
    <t xml:space="preserve">Mohan Das Hedge</t>
  </si>
  <si>
    <t xml:space="preserve">SMSF/SBC/0652</t>
  </si>
  <si>
    <t xml:space="preserve">Mohana R</t>
  </si>
  <si>
    <t xml:space="preserve">SMSF/KAN/0725</t>
  </si>
  <si>
    <t xml:space="preserve">Mohanakrishnan T</t>
  </si>
  <si>
    <t xml:space="preserve">SMSF/PGT/0051</t>
  </si>
  <si>
    <t xml:space="preserve">MALAMPUZHA</t>
  </si>
  <si>
    <t xml:space="preserve">Mohd Abdul Rahman</t>
  </si>
  <si>
    <t xml:space="preserve">False/KAN/1341</t>
  </si>
  <si>
    <t xml:space="preserve">Mohd Aijaz Hussain</t>
  </si>
  <si>
    <t xml:space="preserve">HFI/KAN/1007</t>
  </si>
  <si>
    <t xml:space="preserve">Monu Singh</t>
  </si>
  <si>
    <t xml:space="preserve">SHPT/BMA/0052</t>
  </si>
  <si>
    <t xml:space="preserve">Moti Hanuman</t>
  </si>
  <si>
    <t xml:space="preserve">HET/KAN/1207</t>
  </si>
  <si>
    <t xml:space="preserve">Mugundan Velusamy</t>
  </si>
  <si>
    <t xml:space="preserve">HFI/KAN/1245</t>
  </si>
  <si>
    <t xml:space="preserve">Mukesh Bahadur Shahi</t>
  </si>
  <si>
    <t xml:space="preserve">SRCM/BMA/0241</t>
  </si>
  <si>
    <t xml:space="preserve">Mukesh Kumar</t>
  </si>
  <si>
    <t xml:space="preserve">SRC/KAN/1326</t>
  </si>
  <si>
    <t xml:space="preserve">SRCM/NOI/0537</t>
  </si>
  <si>
    <t xml:space="preserve">Mukesh Kumar Pal</t>
  </si>
  <si>
    <t xml:space="preserve">SRC/KAN/0961</t>
  </si>
  <si>
    <t xml:space="preserve">Mukesh Sharma</t>
  </si>
  <si>
    <t xml:space="preserve">SRCM/BMA/0293</t>
  </si>
  <si>
    <t xml:space="preserve">Mukta Kalra</t>
  </si>
  <si>
    <t xml:space="preserve">HET/KAN/1100</t>
  </si>
  <si>
    <t xml:space="preserve">Munendra Kumar</t>
  </si>
  <si>
    <t xml:space="preserve">SMSF/KAN/0849</t>
  </si>
  <si>
    <t xml:space="preserve">Munusamy T</t>
  </si>
  <si>
    <t xml:space="preserve">SRCM/BMA/0054</t>
  </si>
  <si>
    <t xml:space="preserve">Murali B</t>
  </si>
  <si>
    <t xml:space="preserve">SMSF/KAN/0599</t>
  </si>
  <si>
    <t xml:space="preserve">Murali Krishna Patapathi</t>
  </si>
  <si>
    <t xml:space="preserve">SMSF/KAN/0607</t>
  </si>
  <si>
    <t xml:space="preserve">Murali Kumar D.C</t>
  </si>
  <si>
    <t xml:space="preserve">SMSF/KAN/0226</t>
  </si>
  <si>
    <t xml:space="preserve">Murugan V</t>
  </si>
  <si>
    <t xml:space="preserve">SRCM/BMA/0055</t>
  </si>
  <si>
    <t xml:space="preserve">Murugesha. H.R</t>
  </si>
  <si>
    <t xml:space="preserve">SHPT/BMA/0283</t>
  </si>
  <si>
    <t xml:space="preserve">Muthamma</t>
  </si>
  <si>
    <t xml:space="preserve">HET/KAN/1140</t>
  </si>
  <si>
    <t xml:space="preserve">N Bhuvaneswari</t>
  </si>
  <si>
    <t xml:space="preserve">SMSF/BMA/0763</t>
  </si>
  <si>
    <t xml:space="preserve">N Kannappan</t>
  </si>
  <si>
    <t xml:space="preserve">SRC/KAN/1296</t>
  </si>
  <si>
    <t xml:space="preserve">N Karthikeyan</t>
  </si>
  <si>
    <t xml:space="preserve">SRC/KAN/1294</t>
  </si>
  <si>
    <t xml:space="preserve">N Lakahmaiah</t>
  </si>
  <si>
    <t xml:space="preserve">SMSF/KAN/0240</t>
  </si>
  <si>
    <t xml:space="preserve">N.Jamuna Rani</t>
  </si>
  <si>
    <t xml:space="preserve">SMSF/BMA/0497</t>
  </si>
  <si>
    <t xml:space="preserve">Nabhish Tyagi</t>
  </si>
  <si>
    <t xml:space="preserve">SRC/KAN/1149</t>
  </si>
  <si>
    <t xml:space="preserve">Nagamani R</t>
  </si>
  <si>
    <t xml:space="preserve">SMSF/TUP/0415</t>
  </si>
  <si>
    <t xml:space="preserve">Nagammal G</t>
  </si>
  <si>
    <t xml:space="preserve">SMSF/TRL/0403</t>
  </si>
  <si>
    <t xml:space="preserve">Nagavenkateswaralu Ky</t>
  </si>
  <si>
    <t xml:space="preserve">SRCM/BMA/0056</t>
  </si>
  <si>
    <t xml:space="preserve">Nagendra C Lokaraj</t>
  </si>
  <si>
    <t xml:space="preserve">HFI/KAN/1235</t>
  </si>
  <si>
    <t xml:space="preserve">Nagesh Vaddepally</t>
  </si>
  <si>
    <t xml:space="preserve">HFI/KAN/1221</t>
  </si>
  <si>
    <t xml:space="preserve">Nagrajan V</t>
  </si>
  <si>
    <t xml:space="preserve">SMSF/BMA/0485</t>
  </si>
  <si>
    <t xml:space="preserve">Nagula Sreekar</t>
  </si>
  <si>
    <t xml:space="preserve">HFI/KAN/1386</t>
  </si>
  <si>
    <t xml:space="preserve">Nallamma V</t>
  </si>
  <si>
    <t xml:space="preserve">SRCM/BMA/0057</t>
  </si>
  <si>
    <t xml:space="preserve">Nanda Gopi P</t>
  </si>
  <si>
    <t xml:space="preserve">SRCM/BMA/0242</t>
  </si>
  <si>
    <t xml:space="preserve">Narasingh Hari Babu</t>
  </si>
  <si>
    <t xml:space="preserve">HFI/KAN/0965</t>
  </si>
  <si>
    <t xml:space="preserve">Narayan Devba Maghade</t>
  </si>
  <si>
    <t xml:space="preserve">SHKJ/KAN/1266</t>
  </si>
  <si>
    <t xml:space="preserve">Narayana Murthy D</t>
  </si>
  <si>
    <t xml:space="preserve">SMSF/KAN/0366</t>
  </si>
  <si>
    <t xml:space="preserve">Naresh Singh Tomar</t>
  </si>
  <si>
    <t xml:space="preserve">SMSF/KAN/0770</t>
  </si>
  <si>
    <t xml:space="preserve">Narla Karunakar</t>
  </si>
  <si>
    <t xml:space="preserve">HFI/KAN/1228</t>
  </si>
  <si>
    <t xml:space="preserve">Narsinga Rao</t>
  </si>
  <si>
    <t xml:space="preserve">SMSF/KAN/0263</t>
  </si>
  <si>
    <t xml:space="preserve">Nathuram Vishwakaram</t>
  </si>
  <si>
    <t xml:space="preserve">SMSF/KAN/0194</t>
  </si>
  <si>
    <t xml:space="preserve">Naveen Kumar</t>
  </si>
  <si>
    <t xml:space="preserve">SHPT/BMA/0554</t>
  </si>
  <si>
    <t xml:space="preserve">Nehal Tantia</t>
  </si>
  <si>
    <t xml:space="preserve">SHPT/BMA/0612</t>
  </si>
  <si>
    <t xml:space="preserve">Nethaji</t>
  </si>
  <si>
    <t xml:space="preserve">SMSF/TRL/0523</t>
  </si>
  <si>
    <t xml:space="preserve">Nimesh</t>
  </si>
  <si>
    <t xml:space="preserve">SMSF/KAN/1080</t>
  </si>
  <si>
    <t xml:space="preserve">Nitesh Nandlal Gaydhane</t>
  </si>
  <si>
    <t xml:space="preserve">SHKJ/KAN/1287</t>
  </si>
  <si>
    <t xml:space="preserve">Nitya Taunk</t>
  </si>
  <si>
    <t xml:space="preserve">HFI/KAN/1166</t>
  </si>
  <si>
    <t xml:space="preserve">Nivedita Bhaskar</t>
  </si>
  <si>
    <t xml:space="preserve">HET/KAN/1249</t>
  </si>
  <si>
    <t xml:space="preserve">Nivedita Sah</t>
  </si>
  <si>
    <t xml:space="preserve">HET/KAN/1383</t>
  </si>
  <si>
    <t xml:space="preserve">Nunna Nandakumar</t>
  </si>
  <si>
    <t xml:space="preserve">SMSF/KAN/0462</t>
  </si>
  <si>
    <t xml:space="preserve">Obaleshwar</t>
  </si>
  <si>
    <t xml:space="preserve">SMSF/KAN/0712</t>
  </si>
  <si>
    <t xml:space="preserve">P Esthar</t>
  </si>
  <si>
    <t xml:space="preserve">SMSF/TRL/0731</t>
  </si>
  <si>
    <t xml:space="preserve">P Lakshmi</t>
  </si>
  <si>
    <t xml:space="preserve">SMSF/TRL/0387</t>
  </si>
  <si>
    <t xml:space="preserve">P Munusamy</t>
  </si>
  <si>
    <t xml:space="preserve">SMSF/TRL/0365</t>
  </si>
  <si>
    <t xml:space="preserve">P Prabhakar</t>
  </si>
  <si>
    <t xml:space="preserve">SMSF/KAN/0759</t>
  </si>
  <si>
    <t xml:space="preserve">P Sekar</t>
  </si>
  <si>
    <t xml:space="preserve">SMSF/TRL/0363</t>
  </si>
  <si>
    <t xml:space="preserve">P Vamsi Mohanrao</t>
  </si>
  <si>
    <t xml:space="preserve">HET/KAN/1417</t>
  </si>
  <si>
    <t xml:space="preserve">P.Arumugam</t>
  </si>
  <si>
    <t xml:space="preserve">SRCM/TUP/0629</t>
  </si>
  <si>
    <t xml:space="preserve">Pabbe Jaipal</t>
  </si>
  <si>
    <t xml:space="preserve">SHKJ/KAN/1264</t>
  </si>
  <si>
    <t xml:space="preserve">Pabbey Mallesh</t>
  </si>
  <si>
    <t xml:space="preserve">SMSF/KAN/1013</t>
  </si>
  <si>
    <t xml:space="preserve">Pabbey Manjula</t>
  </si>
  <si>
    <t xml:space="preserve">SMSF/KAN/1012</t>
  </si>
  <si>
    <t xml:space="preserve">Pabey Yadaiah</t>
  </si>
  <si>
    <t xml:space="preserve">SRC/KAN/1069</t>
  </si>
  <si>
    <t xml:space="preserve">Pagi Ganeshbhai Lahnubhai</t>
  </si>
  <si>
    <t xml:space="preserve">HFI/BL/1313</t>
  </si>
  <si>
    <t xml:space="preserve">Pakkirappa K</t>
  </si>
  <si>
    <t xml:space="preserve">HET/KAN/1400</t>
  </si>
  <si>
    <t xml:space="preserve">Palakolanu Naga Malleswarreddy</t>
  </si>
  <si>
    <t xml:space="preserve">SHKJ/KAN/1270</t>
  </si>
  <si>
    <t xml:space="preserve">Pardip Kumar Singh</t>
  </si>
  <si>
    <t xml:space="preserve">SMSF/KAN/1035</t>
  </si>
  <si>
    <t xml:space="preserve">Parise Veera Raghavaiah</t>
  </si>
  <si>
    <t xml:space="preserve">SRCM/BZA/0061</t>
  </si>
  <si>
    <t xml:space="preserve">Patel Dimplebahen Mangubhai</t>
  </si>
  <si>
    <t xml:space="preserve">HFI/BL/1312</t>
  </si>
  <si>
    <t xml:space="preserve">Pathri Muni Maheshwari</t>
  </si>
  <si>
    <t xml:space="preserve">SMSF/KAN/0791</t>
  </si>
  <si>
    <t xml:space="preserve">Pathri Vamsi Krishna</t>
  </si>
  <si>
    <t xml:space="preserve">SMSF/KAN/0888</t>
  </si>
  <si>
    <t xml:space="preserve">Patnam Srisailam</t>
  </si>
  <si>
    <t xml:space="preserve">SMSF/KAN/0444</t>
  </si>
  <si>
    <t xml:space="preserve">Pavani Pithani</t>
  </si>
  <si>
    <t xml:space="preserve">HET/KAN/1107</t>
  </si>
  <si>
    <t xml:space="preserve">Penchala Narasaiah</t>
  </si>
  <si>
    <t xml:space="preserve">HET/KAN/1418</t>
  </si>
  <si>
    <t xml:space="preserve">Pentareddy Kiran</t>
  </si>
  <si>
    <t xml:space="preserve">SHKJ/KAN/1280</t>
  </si>
  <si>
    <t xml:space="preserve">Perai Arivazhagan Kannan</t>
  </si>
  <si>
    <t xml:space="preserve">SHKJ/KAN/1153</t>
  </si>
  <si>
    <t xml:space="preserve">Pinky Surekha</t>
  </si>
  <si>
    <t xml:space="preserve">SHPT/BMA/0268</t>
  </si>
  <si>
    <t xml:space="preserve">Pittala Rajkumar</t>
  </si>
  <si>
    <t xml:space="preserve">HFI/KAN/1233</t>
  </si>
  <si>
    <t xml:space="preserve">Ponnammal M</t>
  </si>
  <si>
    <t xml:space="preserve">SRCM/BMA/0062</t>
  </si>
  <si>
    <t xml:space="preserve">Ponnapalli Phani Durgamayuri</t>
  </si>
  <si>
    <t xml:space="preserve">HET/KAN/1494</t>
  </si>
  <si>
    <t xml:space="preserve">Pothuganthi Panduraiah</t>
  </si>
  <si>
    <t xml:space="preserve">SMSF/KAN/0146</t>
  </si>
  <si>
    <t xml:space="preserve">Pothuganthi Srinivas</t>
  </si>
  <si>
    <t xml:space="preserve">SMSF/KAN/0233</t>
  </si>
  <si>
    <t xml:space="preserve">Pothuganti Parvathaiah</t>
  </si>
  <si>
    <t xml:space="preserve">SMSF/KAN/0576</t>
  </si>
  <si>
    <t xml:space="preserve">Pothuganty Konda Reddy</t>
  </si>
  <si>
    <t xml:space="preserve">AAR/KAN/1343</t>
  </si>
  <si>
    <t xml:space="preserve">Poulomi Bose</t>
  </si>
  <si>
    <t xml:space="preserve">HET/KAN/1499</t>
  </si>
  <si>
    <t xml:space="preserve">Prabhu Arunachalam</t>
  </si>
  <si>
    <t xml:space="preserve">SMSF/HSRA/0558</t>
  </si>
  <si>
    <t xml:space="preserve">Pradip Uraw</t>
  </si>
  <si>
    <t xml:space="preserve">SHKJ/KAN/1267</t>
  </si>
  <si>
    <t xml:space="preserve">Prajyesh Kumar Yadav</t>
  </si>
  <si>
    <t xml:space="preserve">HFI/KAN/0937</t>
  </si>
  <si>
    <t xml:space="preserve">Prakash Chandra</t>
  </si>
  <si>
    <t xml:space="preserve">SRCM/SAT/1464</t>
  </si>
  <si>
    <t xml:space="preserve">Prakash Raju</t>
  </si>
  <si>
    <t xml:space="preserve">HFI/KAN/0969</t>
  </si>
  <si>
    <t xml:space="preserve">Pramila G</t>
  </si>
  <si>
    <t xml:space="preserve">SRCM/BMA/0064</t>
  </si>
  <si>
    <t xml:space="preserve">Pranay Roy</t>
  </si>
  <si>
    <t xml:space="preserve">HET/BMA/1103</t>
  </si>
  <si>
    <t xml:space="preserve">Prasanth Saxena</t>
  </si>
  <si>
    <t xml:space="preserve">SMSF/KAN/0715</t>
  </si>
  <si>
    <t xml:space="preserve">Prasanth. R</t>
  </si>
  <si>
    <t xml:space="preserve">SHPT/BMA/0875</t>
  </si>
  <si>
    <t xml:space="preserve">Prashant Bhardwaj</t>
  </si>
  <si>
    <t xml:space="preserve">SMSF/KAN/1158</t>
  </si>
  <si>
    <t xml:space="preserve">Prashanth Rout</t>
  </si>
  <si>
    <t xml:space="preserve">SMSF/TRL/0370</t>
  </si>
  <si>
    <t xml:space="preserve">Preeti</t>
  </si>
  <si>
    <t xml:space="preserve">SRCM/BMA/0065</t>
  </si>
  <si>
    <t xml:space="preserve">Prem Kumar Nirna</t>
  </si>
  <si>
    <t xml:space="preserve">SHKJ/KAN/1206</t>
  </si>
  <si>
    <t xml:space="preserve">Prince Kumar Yadav</t>
  </si>
  <si>
    <t xml:space="preserve">SMSF/KAN/0128</t>
  </si>
  <si>
    <t xml:space="preserve">Pullepu Naga Phanindrakumar</t>
  </si>
  <si>
    <t xml:space="preserve">SHKJ/KAN/1194</t>
  </si>
  <si>
    <t xml:space="preserve">Punithavalli J</t>
  </si>
  <si>
    <t xml:space="preserve">SMSF/BMA/1274</t>
  </si>
  <si>
    <t xml:space="preserve">Purnachandrika</t>
  </si>
  <si>
    <t xml:space="preserve">HET/KAN/1089</t>
  </si>
  <si>
    <t xml:space="preserve">Purnakanti Muttarao</t>
  </si>
  <si>
    <t xml:space="preserve">SMSF/KAN/0461</t>
  </si>
  <si>
    <t xml:space="preserve">Purnima Muthuswamy</t>
  </si>
  <si>
    <t xml:space="preserve">HET/KAN/1493</t>
  </si>
  <si>
    <t xml:space="preserve">Puttala Mallesh</t>
  </si>
  <si>
    <t xml:space="preserve">SHPT/KAN/0551</t>
  </si>
  <si>
    <t xml:space="preserve">R K Saravanan</t>
  </si>
  <si>
    <t xml:space="preserve">SMSF/KAN/1058</t>
  </si>
  <si>
    <t xml:space="preserve">R Reena Selvi</t>
  </si>
  <si>
    <t xml:space="preserve">SHPT/BMA/0274</t>
  </si>
  <si>
    <t xml:space="preserve">R Vetrichelvan</t>
  </si>
  <si>
    <t xml:space="preserve">SHKJ/KAN/1371</t>
  </si>
  <si>
    <t xml:space="preserve">R.Gunasekaran</t>
  </si>
  <si>
    <t xml:space="preserve">SRCM/TUP/0621</t>
  </si>
  <si>
    <t xml:space="preserve">R.Marimuthu</t>
  </si>
  <si>
    <t xml:space="preserve">SRCM/TUP/0730</t>
  </si>
  <si>
    <t xml:space="preserve">R.Prabakaran</t>
  </si>
  <si>
    <t xml:space="preserve">SRCM/TUP/0736</t>
  </si>
  <si>
    <t xml:space="preserve">Radheshyam</t>
  </si>
  <si>
    <t xml:space="preserve">SHKJ/KAN/1171</t>
  </si>
  <si>
    <t xml:space="preserve">Radheshyam Vishwakarma</t>
  </si>
  <si>
    <t xml:space="preserve">SRCM/INDB/0066</t>
  </si>
  <si>
    <t xml:space="preserve">Radhika</t>
  </si>
  <si>
    <t xml:space="preserve">SMSF/KAN/0724</t>
  </si>
  <si>
    <t xml:space="preserve">Radhika Ramanathan</t>
  </si>
  <si>
    <t xml:space="preserve">HET/KAN/1098</t>
  </si>
  <si>
    <t xml:space="preserve">Raghuraj R</t>
  </si>
  <si>
    <t xml:space="preserve">SHKJ/KAN/1116</t>
  </si>
  <si>
    <t xml:space="preserve">Ragunath Reddy</t>
  </si>
  <si>
    <t xml:space="preserve">HET/KAN/1401</t>
  </si>
  <si>
    <t xml:space="preserve">Rahul Baban Thopte</t>
  </si>
  <si>
    <t xml:space="preserve">SMSF/KAN/0215</t>
  </si>
  <si>
    <t xml:space="preserve">Rahul Kumar Ram</t>
  </si>
  <si>
    <t xml:space="preserve">SMC/BMA/0356</t>
  </si>
  <si>
    <t xml:space="preserve">Raj Kumar Mishra</t>
  </si>
  <si>
    <t xml:space="preserve">SRC/KAN/1327</t>
  </si>
  <si>
    <t xml:space="preserve">Raj Kumar Singh</t>
  </si>
  <si>
    <t xml:space="preserve">SMSF/KAN/0202</t>
  </si>
  <si>
    <t xml:space="preserve">Raja Singh</t>
  </si>
  <si>
    <t xml:space="preserve">SMSF/KAN/0264</t>
  </si>
  <si>
    <t xml:space="preserve">Rajan Kesavan</t>
  </si>
  <si>
    <t xml:space="preserve">SRCM/BMA/0067</t>
  </si>
  <si>
    <t xml:space="preserve">Rajani Padmanabhan</t>
  </si>
  <si>
    <t xml:space="preserve">SRCM/BMA/0315</t>
  </si>
  <si>
    <t xml:space="preserve">Rajasekaran P</t>
  </si>
  <si>
    <t xml:space="preserve">SRCM/BMA/0069</t>
  </si>
  <si>
    <t xml:space="preserve">Rajavelpandi G</t>
  </si>
  <si>
    <t xml:space="preserve">SRCM/BMA/0112</t>
  </si>
  <si>
    <t xml:space="preserve">Rajesh Kumar B</t>
  </si>
  <si>
    <t xml:space="preserve">HET/KAN/1380</t>
  </si>
  <si>
    <t xml:space="preserve">Rajesh Pratap Singh</t>
  </si>
  <si>
    <t xml:space="preserve">SMSF/KAN/0178</t>
  </si>
  <si>
    <t xml:space="preserve">Rajesh Sureka</t>
  </si>
  <si>
    <t xml:space="preserve">SHPT/BMA/0070</t>
  </si>
  <si>
    <t xml:space="preserve">Rajeshwari Ramesh</t>
  </si>
  <si>
    <t xml:space="preserve">SHPT/BMA/0071</t>
  </si>
  <si>
    <t xml:space="preserve">Rajeswari D</t>
  </si>
  <si>
    <t xml:space="preserve">SMSF/BMA/0072</t>
  </si>
  <si>
    <t xml:space="preserve">SRCM/BMA/0436</t>
  </si>
  <si>
    <t xml:space="preserve">Raji Ponnan</t>
  </si>
  <si>
    <t xml:space="preserve">SMSF/TRL/0671</t>
  </si>
  <si>
    <t xml:space="preserve">Rajkumar Singh</t>
  </si>
  <si>
    <t xml:space="preserve">SRCM/KOAA/0517</t>
  </si>
  <si>
    <t xml:space="preserve">Raju Bharadwaj</t>
  </si>
  <si>
    <t xml:space="preserve">SMSF/KAN/0397</t>
  </si>
  <si>
    <t xml:space="preserve">Rakesh Prasad</t>
  </si>
  <si>
    <t xml:space="preserve">SRC/KAN/0994</t>
  </si>
  <si>
    <t xml:space="preserve">Rakesh Reddy</t>
  </si>
  <si>
    <t xml:space="preserve">HFI/KAN/1157</t>
  </si>
  <si>
    <t xml:space="preserve">Rakesh Suraj Kumar</t>
  </si>
  <si>
    <t xml:space="preserve">SRCM/BMA/0073</t>
  </si>
  <si>
    <t xml:space="preserve">Ralapally Mohan</t>
  </si>
  <si>
    <t xml:space="preserve">SMSF/KAN/1043</t>
  </si>
  <si>
    <t xml:space="preserve">Ram Chandra</t>
  </si>
  <si>
    <t xml:space="preserve">SRC/KAN/0896</t>
  </si>
  <si>
    <t xml:space="preserve">Ram Prakash</t>
  </si>
  <si>
    <t xml:space="preserve">SRCM/BMA/0324</t>
  </si>
  <si>
    <t xml:space="preserve">Ram Swaroop</t>
  </si>
  <si>
    <t xml:space="preserve">SRC/KAN/0819</t>
  </si>
  <si>
    <t xml:space="preserve">Ramachandra B</t>
  </si>
  <si>
    <t xml:space="preserve">HET/KAN/1416</t>
  </si>
  <si>
    <t xml:space="preserve">Ramachandran K</t>
  </si>
  <si>
    <t xml:space="preserve">SMSF/KAN/0697</t>
  </si>
  <si>
    <t xml:space="preserve">Ramadevi Nampally</t>
  </si>
  <si>
    <t xml:space="preserve">HFI/KAN/1222</t>
  </si>
  <si>
    <t xml:space="preserve">Ramasamy P</t>
  </si>
  <si>
    <t xml:space="preserve">SMSF/KAN/0223</t>
  </si>
  <si>
    <t xml:space="preserve">Ramautar</t>
  </si>
  <si>
    <t xml:space="preserve">SMSF/KAN/0206</t>
  </si>
  <si>
    <t xml:space="preserve">Ramesh A</t>
  </si>
  <si>
    <t xml:space="preserve">SMSF/TRL/0676</t>
  </si>
  <si>
    <t xml:space="preserve">Ramesh R</t>
  </si>
  <si>
    <t xml:space="preserve">SRCM/BMA/0288</t>
  </si>
  <si>
    <t xml:space="preserve">Ramji N Rai</t>
  </si>
  <si>
    <t xml:space="preserve">SMSF/KAN/0303</t>
  </si>
  <si>
    <t xml:space="preserve">Ramkumar Ramlingam</t>
  </si>
  <si>
    <t xml:space="preserve">SMSF/KAN/0383</t>
  </si>
  <si>
    <t xml:space="preserve">Rana Manishaben Natvarlal</t>
  </si>
  <si>
    <t xml:space="preserve">SRCM/BMA/0075</t>
  </si>
  <si>
    <t xml:space="preserve">Ranjeet Singh</t>
  </si>
  <si>
    <t xml:space="preserve">SMSF/KAN/0893</t>
  </si>
  <si>
    <t xml:space="preserve">Ranjit Singh</t>
  </si>
  <si>
    <t xml:space="preserve">SMSF/KAN/0592</t>
  </si>
  <si>
    <t xml:space="preserve">Ranjith Kumar Gautham</t>
  </si>
  <si>
    <t xml:space="preserve">SMSF/KAN/0188</t>
  </si>
  <si>
    <t xml:space="preserve">Rasila Dana Bhaivaghela</t>
  </si>
  <si>
    <t xml:space="preserve">HFI/KAN/1241</t>
  </si>
  <si>
    <t xml:space="preserve">Raut Sureshbhai Bablubhai</t>
  </si>
  <si>
    <t xml:space="preserve">HFI/BL/1318</t>
  </si>
  <si>
    <t xml:space="preserve">Ravi Kumar As</t>
  </si>
  <si>
    <t xml:space="preserve">SRCM/BMA/0077</t>
  </si>
  <si>
    <t xml:space="preserve">Ravi Shankar Kumar</t>
  </si>
  <si>
    <t xml:space="preserve">SMSF/KAN/0772</t>
  </si>
  <si>
    <t xml:space="preserve">Ravideran. J</t>
  </si>
  <si>
    <t xml:space="preserve">SHPT/BMA/0273</t>
  </si>
  <si>
    <t xml:space="preserve">Reddy Satish Kumar</t>
  </si>
  <si>
    <t xml:space="preserve">SRC/KAN/0939</t>
  </si>
  <si>
    <t xml:space="preserve">Renatla Rama Krishna</t>
  </si>
  <si>
    <t xml:space="preserve">HFI/KAN/1385</t>
  </si>
  <si>
    <t xml:space="preserve">Revathi Krishnaiah</t>
  </si>
  <si>
    <t xml:space="preserve">SRCM/BMA/0078</t>
  </si>
  <si>
    <t xml:space="preserve">Revathi. R</t>
  </si>
  <si>
    <t xml:space="preserve">HET/BMA/0859</t>
  </si>
  <si>
    <t xml:space="preserve">Rinku Rajbhar</t>
  </si>
  <si>
    <t xml:space="preserve">SMSF/KAN/0854</t>
  </si>
  <si>
    <t xml:space="preserve">Ritu Badam</t>
  </si>
  <si>
    <t xml:space="preserve">SRCM/BMA/1197</t>
  </si>
  <si>
    <t xml:space="preserve">Roddolla Karthik</t>
  </si>
  <si>
    <t xml:space="preserve">HFI/KAN/1257</t>
  </si>
  <si>
    <t xml:space="preserve">Rohit Singh</t>
  </si>
  <si>
    <t xml:space="preserve">HET/BMA/1427</t>
  </si>
  <si>
    <t xml:space="preserve">Ronak</t>
  </si>
  <si>
    <t xml:space="preserve">Ruthvijaya</t>
  </si>
  <si>
    <t xml:space="preserve">SMSF/TUP/0416</t>
  </si>
  <si>
    <t xml:space="preserve">S G Selvaraj</t>
  </si>
  <si>
    <t xml:space="preserve">SMSF/TRL/0389</t>
  </si>
  <si>
    <t xml:space="preserve">S Geetha</t>
  </si>
  <si>
    <t xml:space="preserve">SMSF/TRL/0368</t>
  </si>
  <si>
    <t xml:space="preserve">S Jayasudha</t>
  </si>
  <si>
    <t xml:space="preserve">SMSF/BMA/0090</t>
  </si>
  <si>
    <t xml:space="preserve">S Lakshmi Pathi</t>
  </si>
  <si>
    <t xml:space="preserve">SRCM/BMA/0354</t>
  </si>
  <si>
    <t xml:space="preserve">S Maqbool Basha</t>
  </si>
  <si>
    <t xml:space="preserve">SMSF/KAN/0396</t>
  </si>
  <si>
    <t xml:space="preserve">S Sanket</t>
  </si>
  <si>
    <t xml:space="preserve">HET/KAN/1487</t>
  </si>
  <si>
    <t xml:space="preserve">S Shanmugam</t>
  </si>
  <si>
    <t xml:space="preserve">SRCM/BMA/0093</t>
  </si>
  <si>
    <t xml:space="preserve">S Vijayakumar</t>
  </si>
  <si>
    <t xml:space="preserve">SMSF/PGT/0668</t>
  </si>
  <si>
    <t xml:space="preserve">Sachendra Singh Negi</t>
  </si>
  <si>
    <t xml:space="preserve">SRCM/SAT/1465</t>
  </si>
  <si>
    <t xml:space="preserve">Sachin Swamy</t>
  </si>
  <si>
    <t xml:space="preserve">SMSF/KAN/0843</t>
  </si>
  <si>
    <t xml:space="preserve">Sadhnaben Jiteshkumar Vaghvare</t>
  </si>
  <si>
    <t xml:space="preserve">HET/KAN/1436</t>
  </si>
  <si>
    <t xml:space="preserve">Sahab Singh</t>
  </si>
  <si>
    <t xml:space="preserve">SRCM/BMA/0446</t>
  </si>
  <si>
    <t xml:space="preserve">Samir Shivajirao Sawant</t>
  </si>
  <si>
    <t xml:space="preserve">SMSF/KAN/0124</t>
  </si>
  <si>
    <t xml:space="preserve">Samsarapu Kasulamma</t>
  </si>
  <si>
    <t xml:space="preserve">SRCM/BZA/0079</t>
  </si>
  <si>
    <t xml:space="preserve">Sandeep Kumar Tomar</t>
  </si>
  <si>
    <t xml:space="preserve">HET/KAN/1358</t>
  </si>
  <si>
    <t xml:space="preserve">Sandeep Soni</t>
  </si>
  <si>
    <t xml:space="preserve">HFI/KAN/1488</t>
  </si>
  <si>
    <t xml:space="preserve">Sangeetha Peddagopu</t>
  </si>
  <si>
    <t xml:space="preserve">HFI/KAN/0934</t>
  </si>
  <si>
    <t xml:space="preserve">Sanjay Kumar</t>
  </si>
  <si>
    <t xml:space="preserve">SRC/KAN/0940</t>
  </si>
  <si>
    <t xml:space="preserve">Sanju Lata</t>
  </si>
  <si>
    <t xml:space="preserve">HFI/ALD/1437</t>
  </si>
  <si>
    <t xml:space="preserve">ALLAHABAD</t>
  </si>
  <si>
    <t xml:space="preserve">Sankar A</t>
  </si>
  <si>
    <t xml:space="preserve">SMSF/TRL/0364</t>
  </si>
  <si>
    <t xml:space="preserve">Santhanamari K</t>
  </si>
  <si>
    <t xml:space="preserve">SHPT/BMA/0081</t>
  </si>
  <si>
    <t xml:space="preserve">Santhi Pavanam</t>
  </si>
  <si>
    <t xml:space="preserve">HET/KAN/1397</t>
  </si>
  <si>
    <t xml:space="preserve">KERALA</t>
  </si>
  <si>
    <t xml:space="preserve">Santosh Kumar Lenka</t>
  </si>
  <si>
    <t xml:space="preserve">SRC/KAN/0897</t>
  </si>
  <si>
    <t xml:space="preserve">Santosh Pradhan</t>
  </si>
  <si>
    <t xml:space="preserve">SMSF/KAN/0737</t>
  </si>
  <si>
    <t xml:space="preserve">Saraswati Durgapal</t>
  </si>
  <si>
    <t xml:space="preserve">SRCM/SAT/1113</t>
  </si>
  <si>
    <t xml:space="preserve">Saravana Kumar C</t>
  </si>
  <si>
    <t xml:space="preserve">SRCM/BMA/0322</t>
  </si>
  <si>
    <t xml:space="preserve">Saravanan V</t>
  </si>
  <si>
    <t xml:space="preserve">SMSF/BMA/0487</t>
  </si>
  <si>
    <t xml:space="preserve">Saravanaraj S</t>
  </si>
  <si>
    <t xml:space="preserve">HFI/KAN/1209</t>
  </si>
  <si>
    <t xml:space="preserve">Sarawesharanand</t>
  </si>
  <si>
    <t xml:space="preserve">HFI/KAN/1443</t>
  </si>
  <si>
    <t xml:space="preserve">Saripalli Satyavathi</t>
  </si>
  <si>
    <t xml:space="preserve">SRCM/BZA/0082</t>
  </si>
  <si>
    <t xml:space="preserve">Sarju Singh</t>
  </si>
  <si>
    <t xml:space="preserve">SMSF/KAN/1038</t>
  </si>
  <si>
    <t xml:space="preserve">Saroj Kumar Pardhan</t>
  </si>
  <si>
    <t xml:space="preserve">SMSF/KAN/1068</t>
  </si>
  <si>
    <t xml:space="preserve">Sarojini</t>
  </si>
  <si>
    <t xml:space="preserve">SMSF/KAN/1118</t>
  </si>
  <si>
    <t xml:space="preserve">Sathish Kumar Banshibal</t>
  </si>
  <si>
    <t xml:space="preserve">SMSF/KAN/1447</t>
  </si>
  <si>
    <t xml:space="preserve">Satish Chand</t>
  </si>
  <si>
    <t xml:space="preserve">SRC/KAN/1164</t>
  </si>
  <si>
    <t xml:space="preserve">Satish Tewari</t>
  </si>
  <si>
    <t xml:space="preserve">SRCM/SAT/0879</t>
  </si>
  <si>
    <t xml:space="preserve">Satyendra Kumar Ravi</t>
  </si>
  <si>
    <t xml:space="preserve">SMSF/KAN/1032</t>
  </si>
  <si>
    <t xml:space="preserve">Seeniammal.M</t>
  </si>
  <si>
    <t xml:space="preserve">SRCM/BMA/0317</t>
  </si>
  <si>
    <t xml:space="preserve">Seethakani. P</t>
  </si>
  <si>
    <t xml:space="preserve">SHPT/BMA/0280</t>
  </si>
  <si>
    <t xml:space="preserve">Seethamahalakshmi Andimeni</t>
  </si>
  <si>
    <t xml:space="preserve">HFI/KAN/1230</t>
  </si>
  <si>
    <t xml:space="preserve">Selva Adaikalaraj</t>
  </si>
  <si>
    <t xml:space="preserve">SMSF/TRL/0526</t>
  </si>
  <si>
    <t xml:space="preserve">Selvam D</t>
  </si>
  <si>
    <t xml:space="preserve">SRCM/KNJ/0087</t>
  </si>
  <si>
    <t xml:space="preserve">Selvanathan .S</t>
  </si>
  <si>
    <t xml:space="preserve">SMSF/KAN/0200</t>
  </si>
  <si>
    <t xml:space="preserve">Selvaraj. N</t>
  </si>
  <si>
    <t xml:space="preserve">SHPT/BMA/1462</t>
  </si>
  <si>
    <t xml:space="preserve">Sh. Sursanbhai</t>
  </si>
  <si>
    <t xml:space="preserve">SRCM/ADI/0350</t>
  </si>
  <si>
    <t xml:space="preserve">Shaik Afroz</t>
  </si>
  <si>
    <t xml:space="preserve">SMSF/KAN/0906</t>
  </si>
  <si>
    <t xml:space="preserve">Shaik Mohaboob Subhani</t>
  </si>
  <si>
    <t xml:space="preserve">SMSF/KAN/0298</t>
  </si>
  <si>
    <t xml:space="preserve">Shaik Shahinaz</t>
  </si>
  <si>
    <t xml:space="preserve">SHKJ/KAN/1211</t>
  </si>
  <si>
    <t xml:space="preserve">Shaik Zareen</t>
  </si>
  <si>
    <t xml:space="preserve">SMSF/KAN/0862</t>
  </si>
  <si>
    <t xml:space="preserve">Shalini Gupta</t>
  </si>
  <si>
    <t xml:space="preserve">SHPT/KAN/1218</t>
  </si>
  <si>
    <t xml:space="preserve">Shamla M S</t>
  </si>
  <si>
    <t xml:space="preserve">SRCM/BMA/0467</t>
  </si>
  <si>
    <t xml:space="preserve">Shamshur Basha Kalyan</t>
  </si>
  <si>
    <t xml:space="preserve">SMSF/KAN/0604</t>
  </si>
  <si>
    <t xml:space="preserve">Shanmuga Raja</t>
  </si>
  <si>
    <t xml:space="preserve">SMSF/BMA/0476</t>
  </si>
  <si>
    <t xml:space="preserve">Shanmugam. V</t>
  </si>
  <si>
    <t xml:space="preserve">SHPT/BMA/0412</t>
  </si>
  <si>
    <t xml:space="preserve">Shanmugasudaram N</t>
  </si>
  <si>
    <t xml:space="preserve">SHKJ/KAN/0976</t>
  </si>
  <si>
    <t xml:space="preserve">Shanthi P</t>
  </si>
  <si>
    <t xml:space="preserve">SRCM/BMA/0289</t>
  </si>
  <si>
    <t xml:space="preserve">Sheela Devi</t>
  </si>
  <si>
    <t xml:space="preserve">SMSF/KAN/1448</t>
  </si>
  <si>
    <t xml:space="preserve">Sheo Das Singh</t>
  </si>
  <si>
    <t xml:space="preserve">SRCM/BMA/0088</t>
  </si>
  <si>
    <t xml:space="preserve">Shivangi Jadwal</t>
  </si>
  <si>
    <t xml:space="preserve">HET/KAN/1384</t>
  </si>
  <si>
    <t xml:space="preserve">Shraddha Sharma</t>
  </si>
  <si>
    <t xml:space="preserve">SMSF/KAN/0864</t>
  </si>
  <si>
    <t xml:space="preserve">Shravan S</t>
  </si>
  <si>
    <t xml:space="preserve">SMSF/KAN/0456</t>
  </si>
  <si>
    <t xml:space="preserve">Shri Hariharan</t>
  </si>
  <si>
    <t xml:space="preserve">HET/BMA/1104</t>
  </si>
  <si>
    <t xml:space="preserve">Shubhangi Agarwal</t>
  </si>
  <si>
    <t xml:space="preserve">HET/KAN/1353</t>
  </si>
  <si>
    <t xml:space="preserve">Shubhangi Singh</t>
  </si>
  <si>
    <t xml:space="preserve">HET/KAN/1161</t>
  </si>
  <si>
    <t xml:space="preserve">Siddheshvar Verma</t>
  </si>
  <si>
    <t xml:space="preserve">SRC/KAN/1121</t>
  </si>
  <si>
    <t xml:space="preserve">Simhadri Kishore</t>
  </si>
  <si>
    <t xml:space="preserve">SMSF/KAN/0848</t>
  </si>
  <si>
    <t xml:space="preserve">Simran</t>
  </si>
  <si>
    <t xml:space="preserve">HET/KAN/1134</t>
  </si>
  <si>
    <t xml:space="preserve">Sivashankar S</t>
  </si>
  <si>
    <t xml:space="preserve">SRCM/BMA/1387</t>
  </si>
  <si>
    <t xml:space="preserve">Sneha Vijay Ghantoji</t>
  </si>
  <si>
    <t xml:space="preserve">HET/KAN/1379</t>
  </si>
  <si>
    <t xml:space="preserve">Soman Dhanesh</t>
  </si>
  <si>
    <t xml:space="preserve">SHKJ/KAN/1204</t>
  </si>
  <si>
    <t xml:space="preserve">Somashakara Rao</t>
  </si>
  <si>
    <t xml:space="preserve">HET/KAN/1429</t>
  </si>
  <si>
    <t xml:space="preserve">Somireddy Praveen Reddy</t>
  </si>
  <si>
    <t xml:space="preserve">HET/BMA/0752</t>
  </si>
  <si>
    <t xml:space="preserve">Sonu</t>
  </si>
  <si>
    <t xml:space="preserve">SRC/KAN/1297</t>
  </si>
  <si>
    <t xml:space="preserve">Soujanya Rani Chinta</t>
  </si>
  <si>
    <t xml:space="preserve">HET/KAN/1492</t>
  </si>
  <si>
    <t xml:space="preserve">Soumya</t>
  </si>
  <si>
    <t xml:space="preserve">SHPT/KAN/1200</t>
  </si>
  <si>
    <t xml:space="preserve">Soumya Barnwal</t>
  </si>
  <si>
    <t xml:space="preserve">HET/BMA/0505</t>
  </si>
  <si>
    <t xml:space="preserve">Sowmya Sriram</t>
  </si>
  <si>
    <t xml:space="preserve">HET/KAN/1096</t>
  </si>
  <si>
    <t xml:space="preserve">Sreenivasan P S</t>
  </si>
  <si>
    <t xml:space="preserve">SRCM/BMA/0447</t>
  </si>
  <si>
    <t xml:space="preserve">Sri Harsha</t>
  </si>
  <si>
    <t xml:space="preserve">HFI/KAN/1008</t>
  </si>
  <si>
    <t xml:space="preserve">Sridharan St</t>
  </si>
  <si>
    <t xml:space="preserve">SMSF/BMA/0474</t>
  </si>
  <si>
    <t xml:space="preserve">Srinivas Rao Kadali</t>
  </si>
  <si>
    <t xml:space="preserve">SMSF/KAN/0229</t>
  </si>
  <si>
    <t xml:space="preserve">Sriram Kumar V</t>
  </si>
  <si>
    <t xml:space="preserve">SRCM/BMA/0092</t>
  </si>
  <si>
    <t xml:space="preserve">Srujjan Mangalam Badatya</t>
  </si>
  <si>
    <t xml:space="preserve">SMSF/KAN/0915</t>
  </si>
  <si>
    <t xml:space="preserve">Subash Adhikari</t>
  </si>
  <si>
    <t xml:space="preserve">SHKJ/KAN/1119</t>
  </si>
  <si>
    <t xml:space="preserve">Subramaniyan G</t>
  </si>
  <si>
    <t xml:space="preserve">SHKJ/KAN/1456</t>
  </si>
  <si>
    <t xml:space="preserve">Subrato Mukherjee</t>
  </si>
  <si>
    <t xml:space="preserve">SHPT/BMA/0695</t>
  </si>
  <si>
    <t xml:space="preserve">Suchithra Parthasarathi</t>
  </si>
  <si>
    <t xml:space="preserve">SHPT/BMA/0302</t>
  </si>
  <si>
    <t xml:space="preserve">Sudarshan Gande</t>
  </si>
  <si>
    <t xml:space="preserve">HFI/KAN/1224</t>
  </si>
  <si>
    <t xml:space="preserve">Sudhesh Kumar</t>
  </si>
  <si>
    <t xml:space="preserve">SHKJ/KAN/1127</t>
  </si>
  <si>
    <t xml:space="preserve">Sudhis</t>
  </si>
  <si>
    <t xml:space="preserve">SHPT/BMA/0271</t>
  </si>
  <si>
    <t xml:space="preserve">Sugumar Duraisamy</t>
  </si>
  <si>
    <t xml:space="preserve">SMSF/TRL/0672</t>
  </si>
  <si>
    <t xml:space="preserve">Sujana. B</t>
  </si>
  <si>
    <t xml:space="preserve">SHPT/BMA/0611</t>
  </si>
  <si>
    <t xml:space="preserve">Sujatha Sajjanapu</t>
  </si>
  <si>
    <t xml:space="preserve">HFI/KAN/1179</t>
  </si>
  <si>
    <t xml:space="preserve">Suman Rani</t>
  </si>
  <si>
    <t xml:space="preserve">SMSF/KAN/0300</t>
  </si>
  <si>
    <t xml:space="preserve">Sundararajan</t>
  </si>
  <si>
    <t xml:space="preserve">SHKJ/KAN/1373</t>
  </si>
  <si>
    <t xml:space="preserve">Suneel Chokkam</t>
  </si>
  <si>
    <t xml:space="preserve">SHPT/KAN/0482</t>
  </si>
  <si>
    <t xml:space="preserve">Suneetha E P</t>
  </si>
  <si>
    <t xml:space="preserve">HFI/SBC/1434</t>
  </si>
  <si>
    <t xml:space="preserve">Suneetha Kalakonda</t>
  </si>
  <si>
    <t xml:space="preserve">HET/KAN/1413</t>
  </si>
  <si>
    <t xml:space="preserve">Sunitha G</t>
  </si>
  <si>
    <t xml:space="preserve">HET/KAN/1097</t>
  </si>
  <si>
    <t xml:space="preserve">Sunitha K</t>
  </si>
  <si>
    <t xml:space="preserve">HFI/KAN/1234</t>
  </si>
  <si>
    <t xml:space="preserve">Sunkam Rajashekhar Reddy</t>
  </si>
  <si>
    <t xml:space="preserve">SHKJ/KAN/1299</t>
  </si>
  <si>
    <t xml:space="preserve">Suraj Dnyandev Surve</t>
  </si>
  <si>
    <t xml:space="preserve">SHKJ/KAN/1205</t>
  </si>
  <si>
    <t xml:space="preserve">Surender Kumar</t>
  </si>
  <si>
    <t xml:space="preserve">SMSF/KAN/0299</t>
  </si>
  <si>
    <t xml:space="preserve">Suresh S</t>
  </si>
  <si>
    <t xml:space="preserve">SRCM/BMA/0312</t>
  </si>
  <si>
    <t xml:space="preserve">Surya Gayathri</t>
  </si>
  <si>
    <t xml:space="preserve">HET/KAN/1368</t>
  </si>
  <si>
    <t xml:space="preserve">Surya Sripathy Kamisetty</t>
  </si>
  <si>
    <t xml:space="preserve">SHPT/BMA/0285</t>
  </si>
  <si>
    <t xml:space="preserve">Suryanath Singh</t>
  </si>
  <si>
    <t xml:space="preserve">SRC/KAN/1352</t>
  </si>
  <si>
    <t xml:space="preserve">Suseetharan M</t>
  </si>
  <si>
    <t xml:space="preserve">SHKJ/KAN/0895</t>
  </si>
  <si>
    <t xml:space="preserve">Suvodh Prasad</t>
  </si>
  <si>
    <t xml:space="preserve">SHKJ/KAN/0972</t>
  </si>
  <si>
    <t xml:space="preserve">Swaminath Pandit</t>
  </si>
  <si>
    <t xml:space="preserve">SHKJ/KAN/1344</t>
  </si>
  <si>
    <t xml:space="preserve">Swapan Kumar</t>
  </si>
  <si>
    <t xml:space="preserve">SMSF/KAN/1167</t>
  </si>
  <si>
    <t xml:space="preserve">Swaraj Mishra</t>
  </si>
  <si>
    <t xml:space="preserve">SRC/KAN/1328</t>
  </si>
  <si>
    <t xml:space="preserve">Swarupa Bv</t>
  </si>
  <si>
    <t xml:space="preserve">HFI/KAN/1330</t>
  </si>
  <si>
    <t xml:space="preserve">T. Karthick Jagannath</t>
  </si>
  <si>
    <t xml:space="preserve">SHPT/BMA/0670</t>
  </si>
  <si>
    <t xml:space="preserve">T.D. Krishnakumar</t>
  </si>
  <si>
    <t xml:space="preserve">SHPT/BMA/0276</t>
  </si>
  <si>
    <t xml:space="preserve">Takur Srikanthi Bai</t>
  </si>
  <si>
    <t xml:space="preserve">SMSF/KAN/1182</t>
  </si>
  <si>
    <t xml:space="preserve">Tamil Arasan</t>
  </si>
  <si>
    <t xml:space="preserve">SMSF/KAN/0377</t>
  </si>
  <si>
    <t xml:space="preserve">Tanushree</t>
  </si>
  <si>
    <t xml:space="preserve">HET/KAN/1137</t>
  </si>
  <si>
    <t xml:space="preserve">Tarun Mehta</t>
  </si>
  <si>
    <t xml:space="preserve">SRCM/SAT/1117</t>
  </si>
  <si>
    <t xml:space="preserve">Teegala Parthasarathi</t>
  </si>
  <si>
    <t xml:space="preserve">HET/KAN/1484</t>
  </si>
  <si>
    <t xml:space="preserve">Telugu Parasu Ramulu</t>
  </si>
  <si>
    <t xml:space="preserve">SHKJ/KAN/1177</t>
  </si>
  <si>
    <t xml:space="preserve">Thakor Keyurkumar Bharatsinh</t>
  </si>
  <si>
    <t xml:space="preserve">HFI/BL/1315</t>
  </si>
  <si>
    <t xml:space="preserve">Thamilzhselvan.S</t>
  </si>
  <si>
    <t xml:space="preserve">SMSF/TRL/0528</t>
  </si>
  <si>
    <t xml:space="preserve">Thammali Kalamma</t>
  </si>
  <si>
    <t xml:space="preserve">SMSF/KAN/1284</t>
  </si>
  <si>
    <t xml:space="preserve">Thamshetti Saritha</t>
  </si>
  <si>
    <t xml:space="preserve">SMSF/KAN/0674</t>
  </si>
  <si>
    <t xml:space="preserve">Thapeta Sumalatha</t>
  </si>
  <si>
    <t xml:space="preserve">SHKJ/KAN/1331</t>
  </si>
  <si>
    <t xml:space="preserve">Thilagam P</t>
  </si>
  <si>
    <t xml:space="preserve">SMSF/TRL/0405</t>
  </si>
  <si>
    <t xml:space="preserve">Thilakar Pandaram</t>
  </si>
  <si>
    <t xml:space="preserve">SMSF/KAN/0738</t>
  </si>
  <si>
    <t xml:space="preserve">Thirumalaiah V</t>
  </si>
  <si>
    <t xml:space="preserve">SMSF/TRL/0390</t>
  </si>
  <si>
    <t xml:space="preserve">Thirunavukkarasu</t>
  </si>
  <si>
    <t xml:space="preserve">SMSF/KAN/0575</t>
  </si>
  <si>
    <t xml:space="preserve">Thorat Dharmeshbhai</t>
  </si>
  <si>
    <t xml:space="preserve">HFI/KAN/1311</t>
  </si>
  <si>
    <t xml:space="preserve">Tikeswari Kodku</t>
  </si>
  <si>
    <t xml:space="preserve">SRCM/R/0109</t>
  </si>
  <si>
    <t xml:space="preserve">Tinnavalli Amarendranath</t>
  </si>
  <si>
    <t xml:space="preserve">SHKJ/KAN/1374</t>
  </si>
  <si>
    <t xml:space="preserve">Tripurana Durgaprasad</t>
  </si>
  <si>
    <t xml:space="preserve">HFI/KAN/1180</t>
  </si>
  <si>
    <t xml:space="preserve">Tuna Pradhan</t>
  </si>
  <si>
    <t xml:space="preserve">SMSF/KAN/0739</t>
  </si>
  <si>
    <t xml:space="preserve">Ujwalatha Marampally</t>
  </si>
  <si>
    <t xml:space="preserve">HFI/KAN/1226</t>
  </si>
  <si>
    <t xml:space="preserve">Uma Maheswari</t>
  </si>
  <si>
    <t xml:space="preserve">SHPT/KAN/0610</t>
  </si>
  <si>
    <t xml:space="preserve">Upama Rajasekhar</t>
  </si>
  <si>
    <t xml:space="preserve">HET/KAN/1095</t>
  </si>
  <si>
    <t xml:space="preserve">Usha S</t>
  </si>
  <si>
    <t xml:space="preserve">HET/KAN/1496</t>
  </si>
  <si>
    <t xml:space="preserve">Utkaleswaar Naik</t>
  </si>
  <si>
    <t xml:space="preserve">SMSF/KAN/0098</t>
  </si>
  <si>
    <t xml:space="preserve">V Koti Apparao</t>
  </si>
  <si>
    <t xml:space="preserve">SRC/KAN/0941</t>
  </si>
  <si>
    <t xml:space="preserve">V Lakshmanan</t>
  </si>
  <si>
    <t xml:space="preserve">SMSF/KAN/0657</t>
  </si>
  <si>
    <t xml:space="preserve">V Lakshmi Parvathi</t>
  </si>
  <si>
    <t xml:space="preserve">SRC/KAN/1450</t>
  </si>
  <si>
    <t xml:space="preserve">V Priya</t>
  </si>
  <si>
    <t xml:space="preserve">SHKJ/KAN/1185</t>
  </si>
  <si>
    <t xml:space="preserve">V Sitalakshmi</t>
  </si>
  <si>
    <t xml:space="preserve">HET/BMA/1431</t>
  </si>
  <si>
    <t xml:space="preserve">V Sreenivasan</t>
  </si>
  <si>
    <t xml:space="preserve">SMSF/BMA/0648</t>
  </si>
  <si>
    <t xml:space="preserve">V Trinadh</t>
  </si>
  <si>
    <t xml:space="preserve">SRC/KAN/0942</t>
  </si>
  <si>
    <t xml:space="preserve">V Unnamalai</t>
  </si>
  <si>
    <t xml:space="preserve">HET/BMA/0635</t>
  </si>
  <si>
    <t xml:space="preserve">V Unnikrishnan</t>
  </si>
  <si>
    <t xml:space="preserve">SMSF/PGT/0693</t>
  </si>
  <si>
    <t xml:space="preserve">V.Muralidhar</t>
  </si>
  <si>
    <t xml:space="preserve">SHKJ/KAN/1430</t>
  </si>
  <si>
    <t xml:space="preserve">Vadde Yadaiah</t>
  </si>
  <si>
    <t xml:space="preserve">SMSF/KAN/0857</t>
  </si>
  <si>
    <t xml:space="preserve">Vadla Vijay</t>
  </si>
  <si>
    <t xml:space="preserve">SHKJ/KAN/1175</t>
  </si>
  <si>
    <t xml:space="preserve">Vaibhav Balasaheb More</t>
  </si>
  <si>
    <t xml:space="preserve">HET/KAN/1354</t>
  </si>
  <si>
    <t xml:space="preserve">Vangala Ramadevi</t>
  </si>
  <si>
    <t xml:space="preserve">SMSF/KAN/0572</t>
  </si>
  <si>
    <t xml:space="preserve">Varalakshmi</t>
  </si>
  <si>
    <t xml:space="preserve">HFI/TN/1446</t>
  </si>
  <si>
    <t xml:space="preserve">Varalakshmi S</t>
  </si>
  <si>
    <t xml:space="preserve">SRCM/BMA/0464</t>
  </si>
  <si>
    <t xml:space="preserve">Varsha Kushwaha</t>
  </si>
  <si>
    <t xml:space="preserve">HET/BMA/1428</t>
  </si>
  <si>
    <t xml:space="preserve">Veera Bhadra Charyulu</t>
  </si>
  <si>
    <t xml:space="preserve">HET/KAN/1421</t>
  </si>
  <si>
    <t xml:space="preserve">Vengatesh</t>
  </si>
  <si>
    <t xml:space="preserve">SHKJ/KAN/1156</t>
  </si>
  <si>
    <t xml:space="preserve">Venkata Ratnam</t>
  </si>
  <si>
    <t xml:space="preserve">HET/KAN/1398</t>
  </si>
  <si>
    <t xml:space="preserve">Venkatachalam R</t>
  </si>
  <si>
    <t xml:space="preserve">SRCM/BMA/0319</t>
  </si>
  <si>
    <t xml:space="preserve">Venkataramana Surapu</t>
  </si>
  <si>
    <t xml:space="preserve">AAR/KAN/1361</t>
  </si>
  <si>
    <t xml:space="preserve">Venkatesan K</t>
  </si>
  <si>
    <t xml:space="preserve">SRCM/KNJ/0099</t>
  </si>
  <si>
    <t xml:space="preserve">Venkatesh Palakula</t>
  </si>
  <si>
    <t xml:space="preserve">HET/KAN/1433</t>
  </si>
  <si>
    <t xml:space="preserve">Venkatesh Yathirajam</t>
  </si>
  <si>
    <t xml:space="preserve">SHKJ/KAN/0973</t>
  </si>
  <si>
    <t xml:space="preserve">Venkateswaran M</t>
  </si>
  <si>
    <t xml:space="preserve">SRCM/BMA/0100</t>
  </si>
  <si>
    <t xml:space="preserve">Vibha</t>
  </si>
  <si>
    <t xml:space="preserve">SHKJ/KAN/1307</t>
  </si>
  <si>
    <t xml:space="preserve">Vibha Srivastava</t>
  </si>
  <si>
    <t xml:space="preserve">HET/UP/1440</t>
  </si>
  <si>
    <t xml:space="preserve">Vidhya</t>
  </si>
  <si>
    <t xml:space="preserve">HET/KAN/1102</t>
  </si>
  <si>
    <t xml:space="preserve">Vidya Gopalakrishna</t>
  </si>
  <si>
    <t xml:space="preserve">HFI/KAN/1073</t>
  </si>
  <si>
    <t xml:space="preserve">Vignesh S</t>
  </si>
  <si>
    <t xml:space="preserve">SMSF/KAN/0850</t>
  </si>
  <si>
    <t xml:space="preserve">Vijay Bahadur</t>
  </si>
  <si>
    <t xml:space="preserve">SHKJ/KAN/1336</t>
  </si>
  <si>
    <t xml:space="preserve">Vijaya R</t>
  </si>
  <si>
    <t xml:space="preserve">SRCM/BMA/1272</t>
  </si>
  <si>
    <t xml:space="preserve">Vijayan Subramaniyan</t>
  </si>
  <si>
    <t xml:space="preserve">HET/KAN/1511</t>
  </si>
  <si>
    <t xml:space="preserve">Vikram Shrivstava</t>
  </si>
  <si>
    <t xml:space="preserve">SHPT/BMA/0284</t>
  </si>
  <si>
    <t xml:space="preserve">Vimalesh S</t>
  </si>
  <si>
    <t xml:space="preserve">SHPT/BMA/0103</t>
  </si>
  <si>
    <t xml:space="preserve">Vimlesh Kumar Singh</t>
  </si>
  <si>
    <t xml:space="preserve">SMSF/KAN/0137</t>
  </si>
  <si>
    <t xml:space="preserve">Vinay Chavda</t>
  </si>
  <si>
    <t xml:space="preserve">HET/KAN/1432</t>
  </si>
  <si>
    <t xml:space="preserve">Vindhya</t>
  </si>
  <si>
    <t xml:space="preserve">HFI/SBC/1442</t>
  </si>
  <si>
    <t xml:space="preserve">Vinod Kumar</t>
  </si>
  <si>
    <t xml:space="preserve">SRCM/SAT/1300</t>
  </si>
  <si>
    <t xml:space="preserve">Vinoth C</t>
  </si>
  <si>
    <t xml:space="preserve">SRCM/BMA/0251</t>
  </si>
  <si>
    <t xml:space="preserve">Virender M H</t>
  </si>
  <si>
    <t xml:space="preserve">SHKJ/KAN/1337</t>
  </si>
  <si>
    <t xml:space="preserve">Vishal Pratap Mall.A</t>
  </si>
  <si>
    <t xml:space="preserve">SHPT/BMA/0279</t>
  </si>
  <si>
    <t xml:space="preserve">Vishnu T G</t>
  </si>
  <si>
    <t xml:space="preserve">HET/KAN/1298</t>
  </si>
  <si>
    <t xml:space="preserve">Vodde Srikanth</t>
  </si>
  <si>
    <t xml:space="preserve">SMSF/KAN/0195</t>
  </si>
  <si>
    <t xml:space="preserve">Voddey Gangadhar</t>
  </si>
  <si>
    <t xml:space="preserve">SMSF/KAN/0573</t>
  </si>
  <si>
    <t xml:space="preserve">Y.Ellaiah</t>
  </si>
  <si>
    <t xml:space="preserve">SMSF/KAN/0562</t>
  </si>
  <si>
    <t xml:space="preserve">Yadagiri Arrolla</t>
  </si>
  <si>
    <t xml:space="preserve">SMSF/KAN/0205</t>
  </si>
  <si>
    <t xml:space="preserve">Yadaiah Allikatte</t>
  </si>
  <si>
    <t xml:space="preserve">SMSF/KAN/0439</t>
  </si>
  <si>
    <t xml:space="preserve">Yakala Poliraju</t>
  </si>
  <si>
    <t xml:space="preserve">SMSF/KAN/1079</t>
  </si>
  <si>
    <t xml:space="preserve">Yamadandu Yasoda K</t>
  </si>
  <si>
    <t xml:space="preserve">SRCM/BMA/0159</t>
  </si>
  <si>
    <t xml:space="preserve">Yashwant Ramkrishna Gharat</t>
  </si>
  <si>
    <t xml:space="preserve">SRCM/BCT/0332</t>
  </si>
  <si>
    <t xml:space="preserve">Yerolla Srinu</t>
  </si>
  <si>
    <t xml:space="preserve">SMSF/KAN/0603</t>
  </si>
  <si>
    <t xml:space="preserve">Yerrakunta Sai Prasad</t>
  </si>
  <si>
    <t xml:space="preserve">SMSF/KAN/1338</t>
  </si>
  <si>
    <t xml:space="preserve">Yogendra Dan Bahadur</t>
  </si>
  <si>
    <t xml:space="preserve">SRCM/BMA/0305</t>
  </si>
  <si>
    <t xml:space="preserve">Yogesh Kumar Dc</t>
  </si>
  <si>
    <t xml:space="preserve">SMSF/KAN/0894</t>
  </si>
  <si>
    <t xml:space="preserve">Yogeshwari K</t>
  </si>
  <si>
    <t xml:space="preserve">SHKJ/KAN/1356</t>
  </si>
  <si>
    <t xml:space="preserve">HET/KAN/1512</t>
  </si>
  <si>
    <t xml:space="preserve">HET Special</t>
  </si>
  <si>
    <t xml:space="preserve">Company</t>
  </si>
  <si>
    <t xml:space="preserve">Salary Structure name</t>
  </si>
  <si>
    <t xml:space="preserve">Basic</t>
  </si>
  <si>
    <t xml:space="preserve">SA</t>
  </si>
  <si>
    <t xml:space="preserve">HRA</t>
  </si>
  <si>
    <t xml:space="preserve">OA</t>
  </si>
  <si>
    <t xml:space="preserve">Misc Allowances</t>
  </si>
  <si>
    <t xml:space="preserve">PT</t>
  </si>
  <si>
    <t xml:space="preserve">Medical Insurrance</t>
  </si>
  <si>
    <t xml:space="preserve">HRA Deduction</t>
  </si>
  <si>
    <t xml:space="preserve">Created</t>
  </si>
  <si>
    <t xml:space="preserve">Aaraam</t>
  </si>
  <si>
    <t xml:space="preserve">Aaram Grade 1 </t>
  </si>
  <si>
    <t xml:space="preserve">Done</t>
  </si>
  <si>
    <t xml:space="preserve">SHPT</t>
  </si>
  <si>
    <t xml:space="preserve">SHPT Grade 1</t>
  </si>
  <si>
    <t xml:space="preserve">SHPT Special</t>
  </si>
  <si>
    <t xml:space="preserve">HET</t>
  </si>
  <si>
    <t xml:space="preserve">HET Grade 1 </t>
  </si>
  <si>
    <t xml:space="preserve">HFI</t>
  </si>
  <si>
    <t xml:space="preserve">HFI Grade 1</t>
  </si>
  <si>
    <t xml:space="preserve">HFI Special</t>
  </si>
  <si>
    <t xml:space="preserve">SKIL</t>
  </si>
  <si>
    <t xml:space="preserve">SKIL Grade 1</t>
  </si>
  <si>
    <t xml:space="preserve">SKIL Special Allow</t>
  </si>
  <si>
    <t xml:space="preserve">SKIL Special Deduc</t>
  </si>
  <si>
    <t xml:space="preserve">HLC</t>
  </si>
  <si>
    <t xml:space="preserve">HLC Grade 1</t>
  </si>
  <si>
    <t xml:space="preserve">HLC Special Allow</t>
  </si>
  <si>
    <t xml:space="preserve">HLC </t>
  </si>
  <si>
    <t xml:space="preserve">HLC Special Deduc</t>
  </si>
  <si>
    <t xml:space="preserve">SUC</t>
  </si>
  <si>
    <t xml:space="preserve">SUC Grade 1</t>
  </si>
  <si>
    <t xml:space="preserve">SUC Special Allow</t>
  </si>
  <si>
    <t xml:space="preserve">SUC Special Deduc</t>
  </si>
  <si>
    <t xml:space="preserve">ROCF</t>
  </si>
  <si>
    <t xml:space="preserve">ROCF Grade 1</t>
  </si>
  <si>
    <t xml:space="preserve">BNM</t>
  </si>
  <si>
    <t xml:space="preserve">BNM Grade 1</t>
  </si>
  <si>
    <t xml:space="preserve">SMSF</t>
  </si>
  <si>
    <t xml:space="preserve">SMSF Grade 1</t>
  </si>
  <si>
    <t xml:space="preserve">SMSF Special Allow</t>
  </si>
  <si>
    <t xml:space="preserve">SMSF Special Deduc</t>
  </si>
  <si>
    <t xml:space="preserve">SRCM</t>
  </si>
  <si>
    <t xml:space="preserve">SRCM Grade 1</t>
  </si>
  <si>
    <t xml:space="preserve">SRCM Special Allow</t>
  </si>
  <si>
    <t xml:space="preserve">SRCM Special Deduc</t>
  </si>
  <si>
    <t xml:space="preserve">Nampelli Jyoshna</t>
  </si>
  <si>
    <t xml:space="preserve">AAR/KAN/1518</t>
  </si>
  <si>
    <t xml:space="preserve">Kolluri Mahesh</t>
  </si>
  <si>
    <t xml:space="preserve">AAR/KAN/1513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</si>
</sst>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[$₹]#,##0"/>
    <numFmt numFmtId="167" formatCode="D\-MMM\-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Trebuchet MS"/>
      <family val="0"/>
      <charset val="1"/>
    </font>
    <font>
      <sz val="11"/>
      <color rgb="FF000000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C0C0C0"/>
      </patternFill>
    </fill>
    <fill>
      <patternFill patternType="solid">
        <fgColor rgb="FFD9EAD3"/>
        <bgColor rgb="FFF3F3F3"/>
      </patternFill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b val="1"/>
        <color rgb="FFA61C00"/>
      </font>
      <fill>
        <patternFill>
          <bgColor rgb="FFF3F3F3"/>
        </patternFill>
      </fill>
    </dxf>
    <dxf>
      <font>
        <b val="1"/>
        <color rgb="FF0000FF"/>
      </font>
      <fill>
        <patternFill>
          <bgColor rgb="FFFFFFFF"/>
        </patternFill>
      </fill>
    </dxf>
    <dxf>
      <font>
        <b val="1"/>
        <color rgb="FF0000FF"/>
      </font>
      <fill>
        <patternFill>
          <bgColor rgb="FFF3F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61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15.87"/>
    <col collapsed="false" customWidth="true" hidden="false" outlineLevel="0" max="3" min="3" style="0" width="16.43"/>
    <col collapsed="false" customWidth="true" hidden="false" outlineLevel="0" max="4" min="4" style="0" width="24"/>
    <col collapsed="false" customWidth="true" hidden="false" outlineLevel="0" max="5" min="5" style="0" width="15.87"/>
    <col collapsed="false" customWidth="true" hidden="false" outlineLevel="0" max="6" min="6" style="0" width="15.14"/>
    <col collapsed="false" customWidth="true" hidden="false" outlineLevel="0" max="7" min="7" style="1" width="15.14"/>
    <col collapsed="false" customWidth="true" hidden="false" outlineLevel="0" max="9" min="8" style="1" width="12.29"/>
    <col collapsed="false" customWidth="true" hidden="false" outlineLevel="0" max="10" min="10" style="1" width="13.57"/>
    <col collapsed="false" customWidth="true" hidden="false" outlineLevel="0" max="11" min="11" style="1" width="17.13"/>
    <col collapsed="false" customWidth="true" hidden="false" outlineLevel="0" max="12" min="12" style="1" width="13.01"/>
    <col collapsed="false" customWidth="true" hidden="false" outlineLevel="0" max="1025" min="13" style="0" width="14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4.15" hidden="false" customHeight="false" outlineLevel="0" collapsed="false">
      <c r="A2" s="2" t="s">
        <v>12</v>
      </c>
      <c r="B2" s="2" t="s">
        <v>13</v>
      </c>
      <c r="C2" s="2" t="s">
        <v>14</v>
      </c>
      <c r="D2" s="2" t="s">
        <v>15</v>
      </c>
      <c r="E2" s="2" t="n">
        <v>1</v>
      </c>
      <c r="F2" s="2" t="str">
        <f aca="false">IF(OR(ISBLANK($K2),$K2=0,ISNA($K2)),"","YES")</f>
        <v/>
      </c>
      <c r="G2" s="3" t="n">
        <f aca="false">VLOOKUP($B2,'All Employee Structures'!$A$2:$M1000,9,0)</f>
        <v>290400</v>
      </c>
      <c r="H2" s="3" t="n">
        <f aca="false">I2*2</f>
        <v>574</v>
      </c>
      <c r="I2" s="3" t="n">
        <f aca="false">VLOOKUP($B2,'All Employee Structures'!$A$2:$M1000,10,0)</f>
        <v>287</v>
      </c>
      <c r="J2" s="3" t="n">
        <f aca="false">VLOOKUP($B2,'All Employee Structures'!$A$2:$M1000,11,0)</f>
        <v>0</v>
      </c>
      <c r="K2" s="3" t="n">
        <f aca="false">VLOOKUP($B2,'All Employee Structures'!$A$2:$M1000,12,0)</f>
        <v>0</v>
      </c>
      <c r="L2" s="3" t="n">
        <f aca="false">VLOOKUP($B2,'All Employee Structures'!$A$2:$M1000,13,0)</f>
        <v>0</v>
      </c>
    </row>
    <row r="3" customFormat="false" ht="14.15" hidden="false" customHeight="false" outlineLevel="0" collapsed="false">
      <c r="A3" s="2" t="s">
        <v>16</v>
      </c>
      <c r="B3" s="2" t="s">
        <v>17</v>
      </c>
      <c r="C3" s="2" t="s">
        <v>18</v>
      </c>
      <c r="D3" s="2" t="s">
        <v>15</v>
      </c>
      <c r="E3" s="2" t="n">
        <v>1</v>
      </c>
      <c r="F3" s="2" t="str">
        <f aca="false">IF(OR(ISBLANK($K3),$K3=0,ISNA($K3)),"","YES")</f>
        <v/>
      </c>
      <c r="G3" s="3" t="n">
        <f aca="false">VLOOKUP($B3,'All Employee Structures'!$A$2:$M1000,9,0)</f>
        <v>237600</v>
      </c>
      <c r="H3" s="3" t="n">
        <f aca="false">I3*2</f>
        <v>1582</v>
      </c>
      <c r="I3" s="3" t="n">
        <f aca="false">VLOOKUP($B3,'All Employee Structures'!$A$2:$M1000,10,0)</f>
        <v>791</v>
      </c>
      <c r="J3" s="3" t="n">
        <f aca="false">VLOOKUP($B3,'All Employee Structures'!$A$2:$M1000,11,0)</f>
        <v>0</v>
      </c>
      <c r="K3" s="3" t="n">
        <f aca="false">VLOOKUP($B3,'All Employee Structures'!$A$2:$M1000,12,0)</f>
        <v>0</v>
      </c>
      <c r="L3" s="3" t="n">
        <f aca="false">VLOOKUP($B3,'All Employee Structures'!$A$2:$M1000,13,0)</f>
        <v>0</v>
      </c>
    </row>
    <row r="4" customFormat="false" ht="14.15" hidden="false" customHeight="false" outlineLevel="0" collapsed="false">
      <c r="A4" s="2" t="s">
        <v>19</v>
      </c>
      <c r="B4" s="2" t="s">
        <v>20</v>
      </c>
      <c r="C4" s="2" t="s">
        <v>21</v>
      </c>
      <c r="D4" s="2" t="s">
        <v>15</v>
      </c>
      <c r="E4" s="2" t="n">
        <v>1</v>
      </c>
      <c r="F4" s="2" t="str">
        <f aca="false">IF(OR(ISBLANK($K4),$K4=0,ISNA($K4)),"","YES")</f>
        <v/>
      </c>
      <c r="G4" s="3" t="n">
        <f aca="false">VLOOKUP($B4,'All Employee Structures'!$A$2:$M1000,9,0)</f>
        <v>90000</v>
      </c>
      <c r="H4" s="3" t="n">
        <f aca="false">I4*2</f>
        <v>342</v>
      </c>
      <c r="I4" s="3" t="n">
        <f aca="false">VLOOKUP($B4,'All Employee Structures'!$A$2:$M1000,10,0)</f>
        <v>171</v>
      </c>
      <c r="J4" s="3" t="n">
        <f aca="false">VLOOKUP($B4,'All Employee Structures'!$A$2:$M1000,11,0)</f>
        <v>0</v>
      </c>
      <c r="K4" s="3" t="n">
        <f aca="false">VLOOKUP($B4,'All Employee Structures'!$A$2:$M1000,12,0)</f>
        <v>0</v>
      </c>
      <c r="L4" s="3" t="n">
        <f aca="false">VLOOKUP($B4,'All Employee Structures'!$A$2:$M1000,13,0)</f>
        <v>0</v>
      </c>
    </row>
    <row r="5" customFormat="false" ht="14.15" hidden="false" customHeight="false" outlineLevel="0" collapsed="false">
      <c r="A5" s="2" t="s">
        <v>22</v>
      </c>
      <c r="B5" s="2" t="s">
        <v>23</v>
      </c>
      <c r="C5" s="2" t="s">
        <v>21</v>
      </c>
      <c r="D5" s="2" t="s">
        <v>15</v>
      </c>
      <c r="E5" s="2" t="n">
        <v>1</v>
      </c>
      <c r="F5" s="2" t="str">
        <f aca="false">IF(OR(ISBLANK($K5),$K5=0,ISNA($K5)),"","YES")</f>
        <v/>
      </c>
      <c r="G5" s="3" t="n">
        <f aca="false">VLOOKUP($B5,'All Employee Structures'!$A$2:$M1000,9,0)</f>
        <v>90000</v>
      </c>
      <c r="H5" s="3" t="n">
        <f aca="false">I5*2</f>
        <v>264</v>
      </c>
      <c r="I5" s="3" t="n">
        <f aca="false">VLOOKUP($B5,'All Employee Structures'!$A$2:$M1000,10,0)</f>
        <v>132</v>
      </c>
      <c r="J5" s="3" t="n">
        <f aca="false">VLOOKUP($B5,'All Employee Structures'!$A$2:$M1000,11,0)</f>
        <v>0</v>
      </c>
      <c r="K5" s="3" t="n">
        <f aca="false">VLOOKUP($B5,'All Employee Structures'!$A$2:$M1000,12,0)</f>
        <v>0</v>
      </c>
      <c r="L5" s="3" t="n">
        <f aca="false">VLOOKUP($B5,'All Employee Structures'!$A$2:$M1000,13,0)</f>
        <v>0</v>
      </c>
    </row>
    <row r="6" customFormat="false" ht="14.15" hidden="false" customHeight="false" outlineLevel="0" collapsed="false">
      <c r="A6" s="2" t="s">
        <v>24</v>
      </c>
      <c r="B6" s="2" t="s">
        <v>25</v>
      </c>
      <c r="C6" s="2" t="s">
        <v>26</v>
      </c>
      <c r="D6" s="2" t="s">
        <v>15</v>
      </c>
      <c r="E6" s="2" t="n">
        <v>1</v>
      </c>
      <c r="F6" s="2" t="str">
        <f aca="false">IF(OR(ISBLANK($K6),$K6=0,ISNA($K6)),"","YES")</f>
        <v/>
      </c>
      <c r="G6" s="3" t="n">
        <f aca="false">VLOOKUP($B6,'All Employee Structures'!$A$2:$M1000,9,0)</f>
        <v>120000</v>
      </c>
      <c r="H6" s="3" t="n">
        <f aca="false">I6*2</f>
        <v>0</v>
      </c>
      <c r="I6" s="3" t="n">
        <f aca="false">VLOOKUP($B6,'All Employee Structures'!$A$2:$M1000,10,0)</f>
        <v>0</v>
      </c>
      <c r="J6" s="3" t="n">
        <f aca="false">VLOOKUP($B6,'All Employee Structures'!$A$2:$M1000,11,0)</f>
        <v>0</v>
      </c>
      <c r="K6" s="3" t="n">
        <f aca="false">VLOOKUP($B6,'All Employee Structures'!$A$2:$M1000,12,0)</f>
        <v>0</v>
      </c>
      <c r="L6" s="3" t="n">
        <f aca="false">VLOOKUP($B6,'All Employee Structures'!$A$2:$M1000,13,0)</f>
        <v>0</v>
      </c>
    </row>
    <row r="7" customFormat="false" ht="14.15" hidden="false" customHeight="false" outlineLevel="0" collapsed="false">
      <c r="A7" s="2" t="s">
        <v>27</v>
      </c>
      <c r="B7" s="2" t="s">
        <v>28</v>
      </c>
      <c r="C7" s="2" t="s">
        <v>29</v>
      </c>
      <c r="D7" s="2" t="s">
        <v>15</v>
      </c>
      <c r="E7" s="2" t="n">
        <v>1</v>
      </c>
      <c r="F7" s="2" t="str">
        <f aca="false">IF(OR(ISBLANK($K7),$K7=0,ISNA($K7)),"","YES")</f>
        <v/>
      </c>
      <c r="G7" s="3" t="n">
        <f aca="false">VLOOKUP($B7,'All Employee Structures'!$A$2:$M1000,9,0)</f>
        <v>66000</v>
      </c>
      <c r="H7" s="3" t="n">
        <f aca="false">I7*2</f>
        <v>442</v>
      </c>
      <c r="I7" s="3" t="n">
        <f aca="false">VLOOKUP($B7,'All Employee Structures'!$A$2:$M1000,10,0)</f>
        <v>221</v>
      </c>
      <c r="J7" s="3" t="n">
        <f aca="false">VLOOKUP($B7,'All Employee Structures'!$A$2:$M1000,11,0)</f>
        <v>0</v>
      </c>
      <c r="K7" s="3" t="n">
        <f aca="false">VLOOKUP($B7,'All Employee Structures'!$A$2:$M1000,12,0)</f>
        <v>0</v>
      </c>
      <c r="L7" s="3" t="n">
        <f aca="false">VLOOKUP($B7,'All Employee Structures'!$A$2:$M1000,13,0)</f>
        <v>0</v>
      </c>
    </row>
    <row r="8" customFormat="false" ht="14.15" hidden="false" customHeight="false" outlineLevel="0" collapsed="false">
      <c r="A8" s="2" t="s">
        <v>30</v>
      </c>
      <c r="B8" s="2" t="s">
        <v>31</v>
      </c>
      <c r="C8" s="2" t="s">
        <v>32</v>
      </c>
      <c r="D8" s="2" t="s">
        <v>15</v>
      </c>
      <c r="E8" s="2" t="n">
        <v>1</v>
      </c>
      <c r="F8" s="2" t="str">
        <f aca="false">IF(OR(ISBLANK($K8),$K8=0,ISNA($K8)),"","YES")</f>
        <v/>
      </c>
      <c r="G8" s="3" t="n">
        <f aca="false">VLOOKUP($B8,'All Employee Structures'!$A$2:$M1000,9,0)</f>
        <v>166980</v>
      </c>
      <c r="H8" s="3" t="n">
        <f aca="false">I8*2</f>
        <v>1044</v>
      </c>
      <c r="I8" s="3" t="n">
        <f aca="false">VLOOKUP($B8,'All Employee Structures'!$A$2:$M1000,10,0)</f>
        <v>522</v>
      </c>
      <c r="J8" s="3" t="n">
        <f aca="false">VLOOKUP($B8,'All Employee Structures'!$A$2:$M1000,11,0)</f>
        <v>0</v>
      </c>
      <c r="K8" s="3" t="n">
        <f aca="false">VLOOKUP($B8,'All Employee Structures'!$A$2:$M1000,12,0)</f>
        <v>0</v>
      </c>
      <c r="L8" s="3" t="n">
        <f aca="false">VLOOKUP($B8,'All Employee Structures'!$A$2:$M1000,13,0)</f>
        <v>0</v>
      </c>
    </row>
    <row r="9" customFormat="false" ht="14.15" hidden="false" customHeight="false" outlineLevel="0" collapsed="false">
      <c r="A9" s="2" t="s">
        <v>33</v>
      </c>
      <c r="B9" s="2" t="s">
        <v>34</v>
      </c>
      <c r="C9" s="2" t="s">
        <v>35</v>
      </c>
      <c r="D9" s="2" t="s">
        <v>15</v>
      </c>
      <c r="E9" s="2" t="n">
        <v>1</v>
      </c>
      <c r="F9" s="2" t="str">
        <f aca="false">IF(OR(ISBLANK($K9),$K9=0,ISNA($K9)),"","YES")</f>
        <v/>
      </c>
      <c r="G9" s="3" t="n">
        <f aca="false">VLOOKUP($B9,'All Employee Structures'!$A$2:$M1000,9,0)</f>
        <v>94080</v>
      </c>
      <c r="H9" s="3" t="n">
        <f aca="false">I9*2</f>
        <v>134</v>
      </c>
      <c r="I9" s="3" t="n">
        <f aca="false">VLOOKUP($B9,'All Employee Structures'!$A$2:$M1000,10,0)</f>
        <v>67</v>
      </c>
      <c r="J9" s="3" t="n">
        <f aca="false">VLOOKUP($B9,'All Employee Structures'!$A$2:$M1000,11,0)</f>
        <v>0</v>
      </c>
      <c r="K9" s="3" t="n">
        <f aca="false">VLOOKUP($B9,'All Employee Structures'!$A$2:$M1000,12,0)</f>
        <v>0</v>
      </c>
      <c r="L9" s="3" t="n">
        <f aca="false">VLOOKUP($B9,'All Employee Structures'!$A$2:$M1000,13,0)</f>
        <v>0</v>
      </c>
    </row>
    <row r="10" customFormat="false" ht="14.15" hidden="false" customHeight="false" outlineLevel="0" collapsed="false">
      <c r="A10" s="2" t="s">
        <v>36</v>
      </c>
      <c r="B10" s="2" t="s">
        <v>37</v>
      </c>
      <c r="C10" s="2" t="s">
        <v>14</v>
      </c>
      <c r="D10" s="2" t="s">
        <v>15</v>
      </c>
      <c r="E10" s="2" t="n">
        <v>1</v>
      </c>
      <c r="F10" s="2" t="str">
        <f aca="false">IF(OR(ISBLANK($K10),$K10=0,ISNA($K10)),"","YES")</f>
        <v/>
      </c>
      <c r="G10" s="3" t="n">
        <f aca="false">VLOOKUP($B10,'All Employee Structures'!$A$2:$M1000,9,0)</f>
        <v>123420</v>
      </c>
      <c r="H10" s="3" t="n">
        <f aca="false">I10*2</f>
        <v>1544</v>
      </c>
      <c r="I10" s="3" t="n">
        <f aca="false">VLOOKUP($B10,'All Employee Structures'!$A$2:$M1000,10,0)</f>
        <v>772</v>
      </c>
      <c r="J10" s="3" t="n">
        <f aca="false">VLOOKUP($B10,'All Employee Structures'!$A$2:$M1000,11,0)</f>
        <v>0</v>
      </c>
      <c r="K10" s="3" t="n">
        <f aca="false">VLOOKUP($B10,'All Employee Structures'!$A$2:$M1000,12,0)</f>
        <v>0</v>
      </c>
      <c r="L10" s="3" t="n">
        <f aca="false">VLOOKUP($B10,'All Employee Structures'!$A$2:$M1000,13,0)</f>
        <v>0</v>
      </c>
    </row>
    <row r="11" customFormat="false" ht="14.15" hidden="false" customHeight="false" outlineLevel="0" collapsed="false">
      <c r="A11" s="2" t="s">
        <v>38</v>
      </c>
      <c r="B11" s="2" t="s">
        <v>39</v>
      </c>
      <c r="C11" s="2" t="s">
        <v>32</v>
      </c>
      <c r="D11" s="2" t="s">
        <v>15</v>
      </c>
      <c r="E11" s="2" t="n">
        <v>1</v>
      </c>
      <c r="F11" s="2" t="str">
        <f aca="false">IF(OR(ISBLANK($K11),$K11=0,ISNA($K11)),"","YES")</f>
        <v/>
      </c>
      <c r="G11" s="3" t="n">
        <f aca="false">VLOOKUP($B11,'All Employee Structures'!$A$2:$M1000,9,0)</f>
        <v>123420</v>
      </c>
      <c r="H11" s="3" t="n">
        <f aca="false">I11*2</f>
        <v>0</v>
      </c>
      <c r="I11" s="3" t="n">
        <f aca="false">VLOOKUP($B11,'All Employee Structures'!$A$2:$M1000,10,0)</f>
        <v>0</v>
      </c>
      <c r="J11" s="3" t="n">
        <f aca="false">VLOOKUP($B11,'All Employee Structures'!$A$2:$M1000,11,0)</f>
        <v>0</v>
      </c>
      <c r="K11" s="3" t="n">
        <f aca="false">VLOOKUP($B11,'All Employee Structures'!$A$2:$M1000,12,0)</f>
        <v>0</v>
      </c>
      <c r="L11" s="3" t="n">
        <f aca="false">VLOOKUP($B11,'All Employee Structures'!$A$2:$M1000,13,0)</f>
        <v>0</v>
      </c>
    </row>
    <row r="12" customFormat="false" ht="14.15" hidden="false" customHeight="false" outlineLevel="0" collapsed="false">
      <c r="A12" s="2" t="s">
        <v>40</v>
      </c>
      <c r="B12" s="2" t="s">
        <v>41</v>
      </c>
      <c r="C12" s="2" t="s">
        <v>35</v>
      </c>
      <c r="D12" s="2" t="s">
        <v>15</v>
      </c>
      <c r="E12" s="2" t="n">
        <v>1</v>
      </c>
      <c r="F12" s="2" t="str">
        <f aca="false">IF(OR(ISBLANK($K12),$K12=0,ISNA($K12)),"","YES")</f>
        <v/>
      </c>
      <c r="G12" s="3" t="n">
        <f aca="false">VLOOKUP($B12,'All Employee Structures'!$A$2:$M1000,9,0)</f>
        <v>118473.6</v>
      </c>
      <c r="H12" s="3" t="n">
        <f aca="false">I12*2</f>
        <v>442</v>
      </c>
      <c r="I12" s="3" t="n">
        <f aca="false">VLOOKUP($B12,'All Employee Structures'!$A$2:$M1000,10,0)</f>
        <v>221</v>
      </c>
      <c r="J12" s="3" t="n">
        <f aca="false">VLOOKUP($B12,'All Employee Structures'!$A$2:$M1000,11,0)</f>
        <v>0</v>
      </c>
      <c r="K12" s="3" t="n">
        <f aca="false">VLOOKUP($B12,'All Employee Structures'!$A$2:$M1000,12,0)</f>
        <v>0</v>
      </c>
      <c r="L12" s="3" t="n">
        <f aca="false">VLOOKUP($B12,'All Employee Structures'!$A$2:$M1000,13,0)</f>
        <v>0</v>
      </c>
    </row>
    <row r="13" customFormat="false" ht="14.15" hidden="false" customHeight="false" outlineLevel="0" collapsed="false">
      <c r="A13" s="2" t="s">
        <v>42</v>
      </c>
      <c r="B13" s="2" t="s">
        <v>43</v>
      </c>
      <c r="C13" s="2" t="s">
        <v>35</v>
      </c>
      <c r="D13" s="2" t="s">
        <v>15</v>
      </c>
      <c r="E13" s="2" t="n">
        <v>1</v>
      </c>
      <c r="F13" s="2" t="str">
        <f aca="false">IF(OR(ISBLANK($K13),$K13=0,ISNA($K13)),"","YES")</f>
        <v/>
      </c>
      <c r="G13" s="3" t="n">
        <f aca="false">VLOOKUP($B13,'All Employee Structures'!$A$2:$M1000,9,0)</f>
        <v>152305.2</v>
      </c>
      <c r="H13" s="3" t="n">
        <f aca="false">I13*2</f>
        <v>570</v>
      </c>
      <c r="I13" s="3" t="n">
        <f aca="false">VLOOKUP($B13,'All Employee Structures'!$A$2:$M1000,10,0)</f>
        <v>285</v>
      </c>
      <c r="J13" s="3" t="n">
        <f aca="false">VLOOKUP($B13,'All Employee Structures'!$A$2:$M1000,11,0)</f>
        <v>0</v>
      </c>
      <c r="K13" s="3" t="n">
        <f aca="false">VLOOKUP($B13,'All Employee Structures'!$A$2:$M1000,12,0)</f>
        <v>0</v>
      </c>
      <c r="L13" s="3" t="n">
        <f aca="false">VLOOKUP($B13,'All Employee Structures'!$A$2:$M1000,13,0)</f>
        <v>0</v>
      </c>
    </row>
    <row r="14" customFormat="false" ht="14.15" hidden="false" customHeight="false" outlineLevel="0" collapsed="false">
      <c r="A14" s="2" t="s">
        <v>44</v>
      </c>
      <c r="B14" s="2" t="s">
        <v>45</v>
      </c>
      <c r="C14" s="2" t="s">
        <v>46</v>
      </c>
      <c r="D14" s="2" t="s">
        <v>15</v>
      </c>
      <c r="E14" s="2" t="n">
        <v>1</v>
      </c>
      <c r="F14" s="2" t="str">
        <f aca="false">IF(OR(ISBLANK($K14),$K14=0,ISNA($K14)),"","YES")</f>
        <v/>
      </c>
      <c r="G14" s="3" t="n">
        <f aca="false">VLOOKUP($B14,'All Employee Structures'!$A$2:$M1000,9,0)</f>
        <v>78000</v>
      </c>
      <c r="H14" s="3" t="n">
        <f aca="false">I14*2</f>
        <v>468</v>
      </c>
      <c r="I14" s="3" t="n">
        <f aca="false">VLOOKUP($B14,'All Employee Structures'!$A$2:$M1000,10,0)</f>
        <v>234</v>
      </c>
      <c r="J14" s="3" t="n">
        <f aca="false">VLOOKUP($B14,'All Employee Structures'!$A$2:$M1000,11,0)</f>
        <v>0</v>
      </c>
      <c r="K14" s="3" t="n">
        <f aca="false">VLOOKUP($B14,'All Employee Structures'!$A$2:$M1000,12,0)</f>
        <v>0</v>
      </c>
      <c r="L14" s="3" t="n">
        <f aca="false">VLOOKUP($B14,'All Employee Structures'!$A$2:$M1000,13,0)</f>
        <v>0</v>
      </c>
    </row>
    <row r="15" customFormat="false" ht="14.15" hidden="false" customHeight="false" outlineLevel="0" collapsed="false">
      <c r="A15" s="2" t="s">
        <v>47</v>
      </c>
      <c r="B15" s="2" t="s">
        <v>48</v>
      </c>
      <c r="C15" s="2" t="s">
        <v>49</v>
      </c>
      <c r="D15" s="2" t="s">
        <v>15</v>
      </c>
      <c r="E15" s="2" t="n">
        <v>1</v>
      </c>
      <c r="F15" s="2" t="str">
        <f aca="false">IF(OR(ISBLANK($K15),$K15=0,ISNA($K15)),"","YES")</f>
        <v/>
      </c>
      <c r="G15" s="3" t="n">
        <f aca="false">VLOOKUP($B15,'All Employee Structures'!$A$2:$M1000,9,0)</f>
        <v>84000</v>
      </c>
      <c r="H15" s="3" t="n">
        <f aca="false">I15*2</f>
        <v>1730</v>
      </c>
      <c r="I15" s="3" t="n">
        <f aca="false">VLOOKUP($B15,'All Employee Structures'!$A$2:$M1000,10,0)</f>
        <v>865</v>
      </c>
      <c r="J15" s="3" t="n">
        <f aca="false">VLOOKUP($B15,'All Employee Structures'!$A$2:$M1000,11,0)</f>
        <v>0</v>
      </c>
      <c r="K15" s="3" t="n">
        <f aca="false">VLOOKUP($B15,'All Employee Structures'!$A$2:$M1000,12,0)</f>
        <v>0</v>
      </c>
      <c r="L15" s="3" t="n">
        <f aca="false">VLOOKUP($B15,'All Employee Structures'!$A$2:$M1000,13,0)</f>
        <v>0</v>
      </c>
    </row>
    <row r="16" customFormat="false" ht="14.15" hidden="false" customHeight="false" outlineLevel="0" collapsed="false">
      <c r="A16" s="2" t="s">
        <v>50</v>
      </c>
      <c r="B16" s="2" t="s">
        <v>51</v>
      </c>
      <c r="C16" s="2" t="s">
        <v>35</v>
      </c>
      <c r="D16" s="2" t="s">
        <v>15</v>
      </c>
      <c r="E16" s="2" t="n">
        <v>1</v>
      </c>
      <c r="F16" s="2" t="str">
        <f aca="false">IF(OR(ISBLANK($K16),$K16=0,ISNA($K16)),"","YES")</f>
        <v/>
      </c>
      <c r="G16" s="3" t="n">
        <f aca="false">VLOOKUP($B16,'All Employee Structures'!$A$2:$M1000,9,0)</f>
        <v>84000</v>
      </c>
      <c r="H16" s="3" t="n">
        <f aca="false">I16*2</f>
        <v>0</v>
      </c>
      <c r="I16" s="3" t="n">
        <f aca="false">VLOOKUP($B16,'All Employee Structures'!$A$2:$M1000,10,0)</f>
        <v>0</v>
      </c>
      <c r="J16" s="3" t="n">
        <f aca="false">VLOOKUP($B16,'All Employee Structures'!$A$2:$M1000,11,0)</f>
        <v>0</v>
      </c>
      <c r="K16" s="3" t="n">
        <f aca="false">VLOOKUP($B16,'All Employee Structures'!$A$2:$M1000,12,0)</f>
        <v>0</v>
      </c>
      <c r="L16" s="3" t="n">
        <f aca="false">VLOOKUP($B16,'All Employee Structures'!$A$2:$M1000,13,0)</f>
        <v>0</v>
      </c>
    </row>
    <row r="17" customFormat="false" ht="14.15" hidden="false" customHeight="false" outlineLevel="0" collapsed="false">
      <c r="A17" s="2" t="s">
        <v>52</v>
      </c>
      <c r="B17" s="2" t="s">
        <v>53</v>
      </c>
      <c r="C17" s="2" t="s">
        <v>35</v>
      </c>
      <c r="D17" s="2" t="s">
        <v>15</v>
      </c>
      <c r="E17" s="2" t="n">
        <v>1</v>
      </c>
      <c r="F17" s="2" t="str">
        <f aca="false">IF(OR(ISBLANK($K17),$K17=0,ISNA($K17)),"","YES")</f>
        <v/>
      </c>
      <c r="G17" s="3" t="n">
        <f aca="false">VLOOKUP($B17,'All Employee Structures'!$A$2:$M1000,9,0)</f>
        <v>102501.6</v>
      </c>
      <c r="H17" s="3" t="n">
        <f aca="false">I17*2</f>
        <v>496</v>
      </c>
      <c r="I17" s="3" t="n">
        <f aca="false">VLOOKUP($B17,'All Employee Structures'!$A$2:$M1000,10,0)</f>
        <v>248</v>
      </c>
      <c r="J17" s="3" t="n">
        <f aca="false">VLOOKUP($B17,'All Employee Structures'!$A$2:$M1000,11,0)</f>
        <v>0</v>
      </c>
      <c r="K17" s="3" t="n">
        <f aca="false">VLOOKUP($B17,'All Employee Structures'!$A$2:$M1000,12,0)</f>
        <v>0</v>
      </c>
      <c r="L17" s="3" t="n">
        <f aca="false">VLOOKUP($B17,'All Employee Structures'!$A$2:$M1000,13,0)</f>
        <v>0</v>
      </c>
    </row>
    <row r="18" customFormat="false" ht="14.15" hidden="false" customHeight="false" outlineLevel="0" collapsed="false">
      <c r="A18" s="2" t="s">
        <v>54</v>
      </c>
      <c r="B18" s="2" t="s">
        <v>55</v>
      </c>
      <c r="C18" s="2" t="s">
        <v>35</v>
      </c>
      <c r="D18" s="2" t="s">
        <v>15</v>
      </c>
      <c r="E18" s="2" t="n">
        <v>1</v>
      </c>
      <c r="F18" s="2" t="str">
        <f aca="false">IF(OR(ISBLANK($K18),$K18=0,ISNA($K18)),"","YES")</f>
        <v/>
      </c>
      <c r="G18" s="3" t="n">
        <f aca="false">VLOOKUP($B18,'All Employee Structures'!$A$2:$M1000,9,0)</f>
        <v>120506.4</v>
      </c>
      <c r="H18" s="3" t="n">
        <f aca="false">I18*2</f>
        <v>442</v>
      </c>
      <c r="I18" s="3" t="n">
        <f aca="false">VLOOKUP($B18,'All Employee Structures'!$A$2:$M1000,10,0)</f>
        <v>221</v>
      </c>
      <c r="J18" s="3" t="n">
        <f aca="false">VLOOKUP($B18,'All Employee Structures'!$A$2:$M1000,11,0)</f>
        <v>0</v>
      </c>
      <c r="K18" s="3" t="n">
        <f aca="false">VLOOKUP($B18,'All Employee Structures'!$A$2:$M1000,12,0)</f>
        <v>0</v>
      </c>
      <c r="L18" s="3" t="n">
        <f aca="false">VLOOKUP($B18,'All Employee Structures'!$A$2:$M1000,13,0)</f>
        <v>0</v>
      </c>
    </row>
    <row r="19" customFormat="false" ht="14.15" hidden="false" customHeight="false" outlineLevel="0" collapsed="false">
      <c r="A19" s="2" t="s">
        <v>56</v>
      </c>
      <c r="B19" s="2" t="s">
        <v>57</v>
      </c>
      <c r="C19" s="2" t="s">
        <v>35</v>
      </c>
      <c r="D19" s="2" t="s">
        <v>15</v>
      </c>
      <c r="E19" s="2" t="n">
        <v>1</v>
      </c>
      <c r="F19" s="2" t="str">
        <f aca="false">IF(OR(ISBLANK($K19),$K19=0,ISNA($K19)),"","YES")</f>
        <v/>
      </c>
      <c r="G19" s="3" t="n">
        <f aca="false">VLOOKUP($B19,'All Employee Structures'!$A$2:$M1000,9,0)</f>
        <v>136768.8</v>
      </c>
      <c r="H19" s="3" t="n">
        <f aca="false">I19*2</f>
        <v>948</v>
      </c>
      <c r="I19" s="3" t="n">
        <f aca="false">VLOOKUP($B19,'All Employee Structures'!$A$2:$M1000,10,0)</f>
        <v>474</v>
      </c>
      <c r="J19" s="3" t="n">
        <f aca="false">VLOOKUP($B19,'All Employee Structures'!$A$2:$M1000,11,0)</f>
        <v>0</v>
      </c>
      <c r="K19" s="3" t="n">
        <f aca="false">VLOOKUP($B19,'All Employee Structures'!$A$2:$M1000,12,0)</f>
        <v>0</v>
      </c>
      <c r="L19" s="3" t="n">
        <f aca="false">VLOOKUP($B19,'All Employee Structures'!$A$2:$M1000,13,0)</f>
        <v>0</v>
      </c>
    </row>
    <row r="20" customFormat="false" ht="14.15" hidden="false" customHeight="false" outlineLevel="0" collapsed="false">
      <c r="A20" s="2" t="s">
        <v>58</v>
      </c>
      <c r="B20" s="2" t="s">
        <v>59</v>
      </c>
      <c r="C20" s="2" t="s">
        <v>35</v>
      </c>
      <c r="D20" s="2" t="s">
        <v>15</v>
      </c>
      <c r="E20" s="2" t="n">
        <v>1</v>
      </c>
      <c r="F20" s="2" t="str">
        <f aca="false">IF(OR(ISBLANK($K20),$K20=0,ISNA($K20)),"","YES")</f>
        <v/>
      </c>
      <c r="G20" s="3" t="n">
        <f aca="false">VLOOKUP($B20,'All Employee Structures'!$A$2:$M1000,9,0)</f>
        <v>102501.6</v>
      </c>
      <c r="H20" s="3" t="n">
        <f aca="false">I20*2</f>
        <v>556</v>
      </c>
      <c r="I20" s="3" t="n">
        <f aca="false">VLOOKUP($B20,'All Employee Structures'!$A$2:$M1000,10,0)</f>
        <v>278</v>
      </c>
      <c r="J20" s="3" t="n">
        <f aca="false">VLOOKUP($B20,'All Employee Structures'!$A$2:$M1000,11,0)</f>
        <v>0</v>
      </c>
      <c r="K20" s="3" t="n">
        <f aca="false">VLOOKUP($B20,'All Employee Structures'!$A$2:$M1000,12,0)</f>
        <v>0</v>
      </c>
      <c r="L20" s="3" t="n">
        <f aca="false">VLOOKUP($B20,'All Employee Structures'!$A$2:$M1000,13,0)</f>
        <v>0</v>
      </c>
    </row>
    <row r="21" customFormat="false" ht="14.15" hidden="false" customHeight="false" outlineLevel="0" collapsed="false">
      <c r="A21" s="2" t="s">
        <v>60</v>
      </c>
      <c r="B21" s="2" t="s">
        <v>61</v>
      </c>
      <c r="C21" s="2" t="s">
        <v>35</v>
      </c>
      <c r="D21" s="2" t="s">
        <v>15</v>
      </c>
      <c r="E21" s="2" t="n">
        <v>1</v>
      </c>
      <c r="F21" s="2" t="str">
        <f aca="false">IF(OR(ISBLANK($K21),$K21=0,ISNA($K21)),"","YES")</f>
        <v/>
      </c>
      <c r="G21" s="3" t="n">
        <f aca="false">VLOOKUP($B21,'All Employee Structures'!$A$2:$M1000,9,0)</f>
        <v>84000</v>
      </c>
      <c r="H21" s="3" t="n">
        <f aca="false">I21*2</f>
        <v>134</v>
      </c>
      <c r="I21" s="3" t="n">
        <f aca="false">VLOOKUP($B21,'All Employee Structures'!$A$2:$M1000,10,0)</f>
        <v>67</v>
      </c>
      <c r="J21" s="3" t="n">
        <f aca="false">VLOOKUP($B21,'All Employee Structures'!$A$2:$M1000,11,0)</f>
        <v>0</v>
      </c>
      <c r="K21" s="3" t="n">
        <f aca="false">VLOOKUP($B21,'All Employee Structures'!$A$2:$M1000,12,0)</f>
        <v>0</v>
      </c>
      <c r="L21" s="3" t="n">
        <f aca="false">VLOOKUP($B21,'All Employee Structures'!$A$2:$M1000,13,0)</f>
        <v>0</v>
      </c>
    </row>
    <row r="22" customFormat="false" ht="14.15" hidden="false" customHeight="false" outlineLevel="0" collapsed="false">
      <c r="A22" s="2" t="s">
        <v>62</v>
      </c>
      <c r="B22" s="2" t="s">
        <v>63</v>
      </c>
      <c r="C22" s="2" t="s">
        <v>35</v>
      </c>
      <c r="D22" s="2" t="s">
        <v>15</v>
      </c>
      <c r="E22" s="2" t="n">
        <v>1</v>
      </c>
      <c r="F22" s="2" t="str">
        <f aca="false">IF(OR(ISBLANK($K22),$K22=0,ISNA($K22)),"","YES")</f>
        <v/>
      </c>
      <c r="G22" s="3" t="n">
        <f aca="false">VLOOKUP($B22,'All Employee Structures'!$A$2:$M1000,9,0)</f>
        <v>94080</v>
      </c>
      <c r="H22" s="3" t="n">
        <f aca="false">I22*2</f>
        <v>354</v>
      </c>
      <c r="I22" s="3" t="n">
        <f aca="false">VLOOKUP($B22,'All Employee Structures'!$A$2:$M1000,10,0)</f>
        <v>177</v>
      </c>
      <c r="J22" s="3" t="n">
        <f aca="false">VLOOKUP($B22,'All Employee Structures'!$A$2:$M1000,11,0)</f>
        <v>0</v>
      </c>
      <c r="K22" s="3" t="n">
        <f aca="false">VLOOKUP($B22,'All Employee Structures'!$A$2:$M1000,12,0)</f>
        <v>0</v>
      </c>
      <c r="L22" s="3" t="n">
        <f aca="false">VLOOKUP($B22,'All Employee Structures'!$A$2:$M1000,13,0)</f>
        <v>0</v>
      </c>
    </row>
    <row r="23" customFormat="false" ht="14.15" hidden="false" customHeight="false" outlineLevel="0" collapsed="false">
      <c r="A23" s="2" t="s">
        <v>64</v>
      </c>
      <c r="B23" s="2" t="s">
        <v>65</v>
      </c>
      <c r="C23" s="2" t="s">
        <v>35</v>
      </c>
      <c r="D23" s="2" t="s">
        <v>15</v>
      </c>
      <c r="E23" s="2" t="n">
        <v>1</v>
      </c>
      <c r="F23" s="2" t="str">
        <f aca="false">IF(OR(ISBLANK($K23),$K23=0,ISNA($K23)),"","YES")</f>
        <v/>
      </c>
      <c r="G23" s="3" t="n">
        <f aca="false">VLOOKUP($B23,'All Employee Structures'!$A$2:$M1000,9,0)</f>
        <v>134010</v>
      </c>
      <c r="H23" s="3" t="n">
        <f aca="false">I23*2</f>
        <v>468</v>
      </c>
      <c r="I23" s="3" t="n">
        <f aca="false">VLOOKUP($B23,'All Employee Structures'!$A$2:$M1000,10,0)</f>
        <v>234</v>
      </c>
      <c r="J23" s="3" t="n">
        <f aca="false">VLOOKUP($B23,'All Employee Structures'!$A$2:$M1000,11,0)</f>
        <v>0</v>
      </c>
      <c r="K23" s="3" t="n">
        <f aca="false">VLOOKUP($B23,'All Employee Structures'!$A$2:$M1000,12,0)</f>
        <v>0</v>
      </c>
      <c r="L23" s="3" t="n">
        <f aca="false">VLOOKUP($B23,'All Employee Structures'!$A$2:$M1000,13,0)</f>
        <v>0</v>
      </c>
    </row>
    <row r="24" customFormat="false" ht="14.15" hidden="false" customHeight="false" outlineLevel="0" collapsed="false">
      <c r="A24" s="2" t="s">
        <v>64</v>
      </c>
      <c r="B24" s="2" t="s">
        <v>66</v>
      </c>
      <c r="C24" s="2" t="s">
        <v>35</v>
      </c>
      <c r="D24" s="2" t="s">
        <v>15</v>
      </c>
      <c r="E24" s="2" t="n">
        <v>1</v>
      </c>
      <c r="F24" s="2" t="str">
        <f aca="false">IF(OR(ISBLANK($K24),$K24=0,ISNA($K24)),"","YES")</f>
        <v/>
      </c>
      <c r="G24" s="3" t="n">
        <f aca="false">VLOOKUP($B24,'All Employee Structures'!$A$2:$M1000,9,0)</f>
        <v>122974.8</v>
      </c>
      <c r="H24" s="3" t="n">
        <f aca="false">I24*2</f>
        <v>354</v>
      </c>
      <c r="I24" s="3" t="n">
        <f aca="false">VLOOKUP($B24,'All Employee Structures'!$A$2:$M1000,10,0)</f>
        <v>177</v>
      </c>
      <c r="J24" s="3" t="n">
        <f aca="false">VLOOKUP($B24,'All Employee Structures'!$A$2:$M1000,11,0)</f>
        <v>0</v>
      </c>
      <c r="K24" s="3" t="n">
        <f aca="false">VLOOKUP($B24,'All Employee Structures'!$A$2:$M1000,12,0)</f>
        <v>0</v>
      </c>
      <c r="L24" s="3" t="n">
        <f aca="false">VLOOKUP($B24,'All Employee Structures'!$A$2:$M1000,13,0)</f>
        <v>0</v>
      </c>
    </row>
    <row r="25" customFormat="false" ht="14.15" hidden="false" customHeight="false" outlineLevel="0" collapsed="false">
      <c r="A25" s="2" t="s">
        <v>67</v>
      </c>
      <c r="B25" s="2" t="s">
        <v>68</v>
      </c>
      <c r="C25" s="2" t="s">
        <v>35</v>
      </c>
      <c r="D25" s="2" t="s">
        <v>15</v>
      </c>
      <c r="E25" s="2" t="n">
        <v>1</v>
      </c>
      <c r="F25" s="2" t="str">
        <f aca="false">IF(OR(ISBLANK($K25),$K25=0,ISNA($K25)),"","YES")</f>
        <v/>
      </c>
      <c r="G25" s="3" t="n">
        <f aca="false">VLOOKUP($B25,'All Employee Structures'!$A$2:$M1000,9,0)</f>
        <v>112956</v>
      </c>
      <c r="H25" s="3" t="n">
        <f aca="false">I25*2</f>
        <v>308</v>
      </c>
      <c r="I25" s="3" t="n">
        <f aca="false">VLOOKUP($B25,'All Employee Structures'!$A$2:$M1000,10,0)</f>
        <v>154</v>
      </c>
      <c r="J25" s="3" t="n">
        <f aca="false">VLOOKUP($B25,'All Employee Structures'!$A$2:$M1000,11,0)</f>
        <v>0</v>
      </c>
      <c r="K25" s="3" t="n">
        <f aca="false">VLOOKUP($B25,'All Employee Structures'!$A$2:$M1000,12,0)</f>
        <v>0</v>
      </c>
      <c r="L25" s="3" t="n">
        <f aca="false">VLOOKUP($B25,'All Employee Structures'!$A$2:$M1000,13,0)</f>
        <v>0</v>
      </c>
    </row>
    <row r="26" customFormat="false" ht="14.15" hidden="false" customHeight="false" outlineLevel="0" collapsed="false">
      <c r="A26" s="2" t="s">
        <v>69</v>
      </c>
      <c r="B26" s="2" t="s">
        <v>70</v>
      </c>
      <c r="C26" s="2" t="s">
        <v>26</v>
      </c>
      <c r="D26" s="2" t="s">
        <v>15</v>
      </c>
      <c r="E26" s="2" t="n">
        <v>1</v>
      </c>
      <c r="F26" s="2" t="str">
        <f aca="false">IF(OR(ISBLANK($K26),$K26=0,ISNA($K26)),"","YES")</f>
        <v/>
      </c>
      <c r="G26" s="3" t="n">
        <f aca="false">VLOOKUP($B26,'All Employee Structures'!$A$2:$M1000,9,0)</f>
        <v>120000</v>
      </c>
      <c r="H26" s="3" t="n">
        <f aca="false">I26*2</f>
        <v>1008</v>
      </c>
      <c r="I26" s="3" t="n">
        <f aca="false">VLOOKUP($B26,'All Employee Structures'!$A$2:$M1000,10,0)</f>
        <v>504</v>
      </c>
      <c r="J26" s="3" t="n">
        <f aca="false">VLOOKUP($B26,'All Employee Structures'!$A$2:$M1000,11,0)</f>
        <v>0</v>
      </c>
      <c r="K26" s="3" t="n">
        <f aca="false">VLOOKUP($B26,'All Employee Structures'!$A$2:$M1000,12,0)</f>
        <v>0</v>
      </c>
      <c r="L26" s="3" t="n">
        <f aca="false">VLOOKUP($B26,'All Employee Structures'!$A$2:$M1000,13,0)</f>
        <v>0</v>
      </c>
    </row>
    <row r="27" customFormat="false" ht="14.15" hidden="false" customHeight="false" outlineLevel="0" collapsed="false">
      <c r="A27" s="2" t="s">
        <v>71</v>
      </c>
      <c r="B27" s="2" t="s">
        <v>72</v>
      </c>
      <c r="C27" s="2" t="s">
        <v>73</v>
      </c>
      <c r="D27" s="2" t="s">
        <v>15</v>
      </c>
      <c r="E27" s="2" t="n">
        <v>1</v>
      </c>
      <c r="F27" s="2" t="str">
        <f aca="false">IF(OR(ISBLANK($K27),$K27=0,ISNA($K27)),"","YES")</f>
        <v/>
      </c>
      <c r="G27" s="3" t="n">
        <f aca="false">VLOOKUP($B27,'All Employee Structures'!$A$2:$M1000,9,0)</f>
        <v>79200</v>
      </c>
      <c r="H27" s="3" t="n">
        <f aca="false">I27*2</f>
        <v>160</v>
      </c>
      <c r="I27" s="3" t="n">
        <f aca="false">VLOOKUP($B27,'All Employee Structures'!$A$2:$M1000,10,0)</f>
        <v>80</v>
      </c>
      <c r="J27" s="3" t="n">
        <f aca="false">VLOOKUP($B27,'All Employee Structures'!$A$2:$M1000,11,0)</f>
        <v>0</v>
      </c>
      <c r="K27" s="3" t="n">
        <f aca="false">VLOOKUP($B27,'All Employee Structures'!$A$2:$M1000,12,0)</f>
        <v>0</v>
      </c>
      <c r="L27" s="3" t="n">
        <f aca="false">VLOOKUP($B27,'All Employee Structures'!$A$2:$M1000,13,0)</f>
        <v>0</v>
      </c>
    </row>
    <row r="28" customFormat="false" ht="14.15" hidden="false" customHeight="false" outlineLevel="0" collapsed="false">
      <c r="A28" s="2" t="s">
        <v>74</v>
      </c>
      <c r="B28" s="2" t="s">
        <v>75</v>
      </c>
      <c r="C28" s="2" t="s">
        <v>18</v>
      </c>
      <c r="D28" s="2" t="s">
        <v>15</v>
      </c>
      <c r="E28" s="2" t="n">
        <v>1</v>
      </c>
      <c r="F28" s="2" t="str">
        <f aca="false">IF(OR(ISBLANK($K28),$K28=0,ISNA($K28)),"","YES")</f>
        <v/>
      </c>
      <c r="G28" s="3" t="n">
        <f aca="false">VLOOKUP($B28,'All Employee Structures'!$A$2:$M1000,9,0)</f>
        <v>184140</v>
      </c>
      <c r="H28" s="3" t="n">
        <f aca="false">I28*2</f>
        <v>354</v>
      </c>
      <c r="I28" s="3" t="n">
        <f aca="false">VLOOKUP($B28,'All Employee Structures'!$A$2:$M1000,10,0)</f>
        <v>177</v>
      </c>
      <c r="J28" s="3" t="n">
        <f aca="false">VLOOKUP($B28,'All Employee Structures'!$A$2:$M1000,11,0)</f>
        <v>0</v>
      </c>
      <c r="K28" s="3" t="n">
        <f aca="false">VLOOKUP($B28,'All Employee Structures'!$A$2:$M1000,12,0)</f>
        <v>0</v>
      </c>
      <c r="L28" s="3" t="n">
        <f aca="false">VLOOKUP($B28,'All Employee Structures'!$A$2:$M1000,13,0)</f>
        <v>0</v>
      </c>
    </row>
    <row r="29" customFormat="false" ht="14.15" hidden="false" customHeight="false" outlineLevel="0" collapsed="false">
      <c r="A29" s="2" t="s">
        <v>76</v>
      </c>
      <c r="B29" s="2" t="s">
        <v>77</v>
      </c>
      <c r="C29" s="2" t="s">
        <v>78</v>
      </c>
      <c r="D29" s="2" t="s">
        <v>15</v>
      </c>
      <c r="E29" s="2" t="n">
        <v>1</v>
      </c>
      <c r="F29" s="2" t="str">
        <f aca="false">IF(OR(ISBLANK($K29),$K29=0,ISNA($K29)),"","YES")</f>
        <v/>
      </c>
      <c r="G29" s="3" t="n">
        <f aca="false">VLOOKUP($B29,'All Employee Structures'!$A$2:$M1000,9,0)</f>
        <v>30000</v>
      </c>
      <c r="H29" s="3" t="n">
        <f aca="false">I29*2</f>
        <v>220</v>
      </c>
      <c r="I29" s="3" t="n">
        <f aca="false">VLOOKUP($B29,'All Employee Structures'!$A$2:$M1000,10,0)</f>
        <v>110</v>
      </c>
      <c r="J29" s="3" t="n">
        <f aca="false">VLOOKUP($B29,'All Employee Structures'!$A$2:$M1000,11,0)</f>
        <v>0</v>
      </c>
      <c r="K29" s="3" t="n">
        <f aca="false">VLOOKUP($B29,'All Employee Structures'!$A$2:$M1000,12,0)</f>
        <v>0</v>
      </c>
      <c r="L29" s="3" t="n">
        <f aca="false">VLOOKUP($B29,'All Employee Structures'!$A$2:$M1000,13,0)</f>
        <v>0</v>
      </c>
    </row>
    <row r="30" customFormat="false" ht="14.15" hidden="false" customHeight="false" outlineLevel="0" collapsed="false">
      <c r="A30" s="2" t="s">
        <v>79</v>
      </c>
      <c r="B30" s="2" t="s">
        <v>80</v>
      </c>
      <c r="C30" s="2" t="s">
        <v>46</v>
      </c>
      <c r="D30" s="2" t="s">
        <v>15</v>
      </c>
      <c r="E30" s="2" t="n">
        <v>1</v>
      </c>
      <c r="F30" s="2" t="str">
        <f aca="false">IF(OR(ISBLANK($K30),$K30=0,ISNA($K30)),"","YES")</f>
        <v/>
      </c>
      <c r="G30" s="3" t="n">
        <f aca="false">VLOOKUP($B30,'All Employee Structures'!$A$2:$M1000,9,0)</f>
        <v>78000</v>
      </c>
      <c r="H30" s="3" t="n">
        <f aca="false">I30*2</f>
        <v>0</v>
      </c>
      <c r="I30" s="3" t="n">
        <f aca="false">VLOOKUP($B30,'All Employee Structures'!$A$2:$M1000,10,0)</f>
        <v>0</v>
      </c>
      <c r="J30" s="3" t="n">
        <f aca="false">VLOOKUP($B30,'All Employee Structures'!$A$2:$M1000,11,0)</f>
        <v>0</v>
      </c>
      <c r="K30" s="3" t="n">
        <f aca="false">VLOOKUP($B30,'All Employee Structures'!$A$2:$M1000,12,0)</f>
        <v>0</v>
      </c>
      <c r="L30" s="3" t="n">
        <f aca="false">VLOOKUP($B30,'All Employee Structures'!$A$2:$M1000,13,0)</f>
        <v>0</v>
      </c>
    </row>
    <row r="31" customFormat="false" ht="14.15" hidden="false" customHeight="false" outlineLevel="0" collapsed="false">
      <c r="A31" s="2" t="s">
        <v>81</v>
      </c>
      <c r="B31" s="2" t="s">
        <v>82</v>
      </c>
      <c r="C31" s="2" t="s">
        <v>83</v>
      </c>
      <c r="D31" s="2" t="s">
        <v>15</v>
      </c>
      <c r="E31" s="2" t="n">
        <v>1</v>
      </c>
      <c r="F31" s="2" t="str">
        <f aca="false">IF(OR(ISBLANK($K31),$K31=0,ISNA($K31)),"","YES")</f>
        <v/>
      </c>
      <c r="G31" s="3" t="n">
        <f aca="false">VLOOKUP($B31,'All Employee Structures'!$A$2:$M1000,9,0)</f>
        <v>174240</v>
      </c>
      <c r="H31" s="3" t="n">
        <f aca="false">I31*2</f>
        <v>0</v>
      </c>
      <c r="I31" s="3" t="n">
        <f aca="false">VLOOKUP($B31,'All Employee Structures'!$A$2:$M1000,10,0)</f>
        <v>0</v>
      </c>
      <c r="J31" s="3" t="n">
        <f aca="false">VLOOKUP($B31,'All Employee Structures'!$A$2:$M1000,11,0)</f>
        <v>0</v>
      </c>
      <c r="K31" s="3" t="n">
        <f aca="false">VLOOKUP($B31,'All Employee Structures'!$A$2:$M1000,12,0)</f>
        <v>0</v>
      </c>
      <c r="L31" s="3" t="n">
        <f aca="false">VLOOKUP($B31,'All Employee Structures'!$A$2:$M1000,13,0)</f>
        <v>0</v>
      </c>
    </row>
    <row r="32" customFormat="false" ht="14.15" hidden="false" customHeight="false" outlineLevel="0" collapsed="false">
      <c r="A32" s="2" t="s">
        <v>84</v>
      </c>
      <c r="B32" s="2" t="s">
        <v>85</v>
      </c>
      <c r="C32" s="2" t="s">
        <v>86</v>
      </c>
      <c r="D32" s="2" t="s">
        <v>15</v>
      </c>
      <c r="E32" s="2" t="n">
        <v>1</v>
      </c>
      <c r="F32" s="2" t="str">
        <f aca="false">IF(OR(ISBLANK($K32),$K32=0,ISNA($K32)),"","YES")</f>
        <v/>
      </c>
      <c r="G32" s="3" t="n">
        <f aca="false">VLOOKUP($B32,'All Employee Structures'!$A$2:$M1000,9,0)</f>
        <v>108000</v>
      </c>
      <c r="H32" s="3" t="n">
        <f aca="false">I32*2</f>
        <v>382</v>
      </c>
      <c r="I32" s="3" t="n">
        <f aca="false">VLOOKUP($B32,'All Employee Structures'!$A$2:$M1000,10,0)</f>
        <v>191</v>
      </c>
      <c r="J32" s="3" t="n">
        <f aca="false">VLOOKUP($B32,'All Employee Structures'!$A$2:$M1000,11,0)</f>
        <v>0</v>
      </c>
      <c r="K32" s="3" t="n">
        <f aca="false">VLOOKUP($B32,'All Employee Structures'!$A$2:$M1000,12,0)</f>
        <v>0</v>
      </c>
      <c r="L32" s="3" t="n">
        <f aca="false">VLOOKUP($B32,'All Employee Structures'!$A$2:$M1000,13,0)</f>
        <v>0</v>
      </c>
    </row>
    <row r="33" customFormat="false" ht="14.15" hidden="false" customHeight="false" outlineLevel="0" collapsed="false">
      <c r="A33" s="2" t="s">
        <v>87</v>
      </c>
      <c r="B33" s="2" t="s">
        <v>88</v>
      </c>
      <c r="C33" s="2" t="s">
        <v>14</v>
      </c>
      <c r="D33" s="2" t="s">
        <v>15</v>
      </c>
      <c r="E33" s="2" t="n">
        <v>1</v>
      </c>
      <c r="F33" s="2" t="str">
        <f aca="false">IF(OR(ISBLANK($K33),$K33=0,ISNA($K33)),"","YES")</f>
        <v/>
      </c>
      <c r="G33" s="3" t="n">
        <f aca="false">VLOOKUP($B33,'All Employee Structures'!$A$2:$M1000,9,0)</f>
        <v>516000</v>
      </c>
      <c r="H33" s="3" t="n">
        <f aca="false">I33*2</f>
        <v>394</v>
      </c>
      <c r="I33" s="3" t="n">
        <f aca="false">VLOOKUP($B33,'All Employee Structures'!$A$2:$M1000,10,0)</f>
        <v>197</v>
      </c>
      <c r="J33" s="3" t="n">
        <f aca="false">VLOOKUP($B33,'All Employee Structures'!$A$2:$M1000,11,0)</f>
        <v>0</v>
      </c>
      <c r="K33" s="3" t="n">
        <f aca="false">VLOOKUP($B33,'All Employee Structures'!$A$2:$M1000,12,0)</f>
        <v>0</v>
      </c>
      <c r="L33" s="3" t="n">
        <f aca="false">VLOOKUP($B33,'All Employee Structures'!$A$2:$M1000,13,0)</f>
        <v>0</v>
      </c>
    </row>
    <row r="34" customFormat="false" ht="14.15" hidden="false" customHeight="false" outlineLevel="0" collapsed="false">
      <c r="A34" s="2" t="s">
        <v>89</v>
      </c>
      <c r="B34" s="2" t="s">
        <v>90</v>
      </c>
      <c r="C34" s="2" t="s">
        <v>18</v>
      </c>
      <c r="D34" s="2" t="s">
        <v>15</v>
      </c>
      <c r="E34" s="2" t="n">
        <v>1</v>
      </c>
      <c r="F34" s="2" t="str">
        <f aca="false">IF(OR(ISBLANK($K34),$K34=0,ISNA($K34)),"","YES")</f>
        <v/>
      </c>
      <c r="G34" s="3" t="n">
        <f aca="false">VLOOKUP($B34,'All Employee Structures'!$A$2:$M1000,9,0)</f>
        <v>112200</v>
      </c>
      <c r="H34" s="3" t="n">
        <f aca="false">I34*2</f>
        <v>758</v>
      </c>
      <c r="I34" s="3" t="n">
        <f aca="false">VLOOKUP($B34,'All Employee Structures'!$A$2:$M1000,10,0)</f>
        <v>379</v>
      </c>
      <c r="J34" s="3" t="n">
        <f aca="false">VLOOKUP($B34,'All Employee Structures'!$A$2:$M1000,11,0)</f>
        <v>0</v>
      </c>
      <c r="K34" s="3" t="n">
        <f aca="false">VLOOKUP($B34,'All Employee Structures'!$A$2:$M1000,12,0)</f>
        <v>0</v>
      </c>
      <c r="L34" s="3" t="n">
        <f aca="false">VLOOKUP($B34,'All Employee Structures'!$A$2:$M1000,13,0)</f>
        <v>0</v>
      </c>
    </row>
    <row r="35" customFormat="false" ht="14.15" hidden="false" customHeight="false" outlineLevel="0" collapsed="false">
      <c r="A35" s="2" t="s">
        <v>91</v>
      </c>
      <c r="B35" s="2" t="s">
        <v>92</v>
      </c>
      <c r="C35" s="2" t="s">
        <v>21</v>
      </c>
      <c r="D35" s="2" t="s">
        <v>15</v>
      </c>
      <c r="E35" s="2" t="n">
        <v>1</v>
      </c>
      <c r="F35" s="2" t="str">
        <f aca="false">IF(OR(ISBLANK($K35),$K35=0,ISNA($K35)),"","YES")</f>
        <v/>
      </c>
      <c r="G35" s="3" t="n">
        <f aca="false">VLOOKUP($B35,'All Employee Structures'!$A$2:$M1000,9,0)</f>
        <v>90000</v>
      </c>
      <c r="H35" s="3" t="n">
        <f aca="false">I35*2</f>
        <v>342</v>
      </c>
      <c r="I35" s="3" t="n">
        <f aca="false">VLOOKUP($B35,'All Employee Structures'!$A$2:$M1000,10,0)</f>
        <v>171</v>
      </c>
      <c r="J35" s="3" t="n">
        <f aca="false">VLOOKUP($B35,'All Employee Structures'!$A$2:$M1000,11,0)</f>
        <v>0</v>
      </c>
      <c r="K35" s="3" t="n">
        <f aca="false">VLOOKUP($B35,'All Employee Structures'!$A$2:$M1000,12,0)</f>
        <v>0</v>
      </c>
      <c r="L35" s="3" t="n">
        <f aca="false">VLOOKUP($B35,'All Employee Structures'!$A$2:$M1000,13,0)</f>
        <v>0</v>
      </c>
    </row>
    <row r="36" customFormat="false" ht="14.15" hidden="false" customHeight="false" outlineLevel="0" collapsed="false">
      <c r="A36" s="2" t="s">
        <v>93</v>
      </c>
      <c r="B36" s="2" t="s">
        <v>94</v>
      </c>
      <c r="C36" s="2" t="s">
        <v>35</v>
      </c>
      <c r="D36" s="2" t="s">
        <v>15</v>
      </c>
      <c r="E36" s="2" t="n">
        <v>1</v>
      </c>
      <c r="F36" s="2" t="str">
        <f aca="false">IF(OR(ISBLANK($K36),$K36=0,ISNA($K36)),"","YES")</f>
        <v/>
      </c>
      <c r="G36" s="3" t="n">
        <f aca="false">VLOOKUP($B36,'All Employee Structures'!$A$2:$M1000,9,0)</f>
        <v>97855.2</v>
      </c>
      <c r="H36" s="3" t="n">
        <f aca="false">I36*2</f>
        <v>354</v>
      </c>
      <c r="I36" s="3" t="n">
        <f aca="false">VLOOKUP($B36,'All Employee Structures'!$A$2:$M1000,10,0)</f>
        <v>177</v>
      </c>
      <c r="J36" s="3" t="n">
        <f aca="false">VLOOKUP($B36,'All Employee Structures'!$A$2:$M1000,11,0)</f>
        <v>0</v>
      </c>
      <c r="K36" s="3" t="n">
        <f aca="false">VLOOKUP($B36,'All Employee Structures'!$A$2:$M1000,12,0)</f>
        <v>0</v>
      </c>
      <c r="L36" s="3" t="n">
        <f aca="false">VLOOKUP($B36,'All Employee Structures'!$A$2:$M1000,13,0)</f>
        <v>0</v>
      </c>
    </row>
    <row r="37" customFormat="false" ht="14.15" hidden="false" customHeight="false" outlineLevel="0" collapsed="false">
      <c r="A37" s="2" t="s">
        <v>95</v>
      </c>
      <c r="B37" s="2" t="s">
        <v>96</v>
      </c>
      <c r="C37" s="2" t="s">
        <v>21</v>
      </c>
      <c r="D37" s="2" t="s">
        <v>15</v>
      </c>
      <c r="E37" s="2" t="n">
        <v>1</v>
      </c>
      <c r="F37" s="2" t="str">
        <f aca="false">IF(OR(ISBLANK($K37),$K37=0,ISNA($K37)),"","YES")</f>
        <v/>
      </c>
      <c r="G37" s="3" t="n">
        <f aca="false">VLOOKUP($B37,'All Employee Structures'!$A$2:$M1000,9,0)</f>
        <v>90000</v>
      </c>
      <c r="H37" s="3" t="n">
        <f aca="false">I37*2</f>
        <v>220</v>
      </c>
      <c r="I37" s="3" t="n">
        <f aca="false">VLOOKUP($B37,'All Employee Structures'!$A$2:$M1000,10,0)</f>
        <v>110</v>
      </c>
      <c r="J37" s="3" t="n">
        <f aca="false">VLOOKUP($B37,'All Employee Structures'!$A$2:$M1000,11,0)</f>
        <v>0</v>
      </c>
      <c r="K37" s="3" t="n">
        <f aca="false">VLOOKUP($B37,'All Employee Structures'!$A$2:$M1000,12,0)</f>
        <v>0</v>
      </c>
      <c r="L37" s="3" t="n">
        <f aca="false">VLOOKUP($B37,'All Employee Structures'!$A$2:$M1000,13,0)</f>
        <v>0</v>
      </c>
    </row>
    <row r="38" customFormat="false" ht="14.15" hidden="false" customHeight="false" outlineLevel="0" collapsed="false">
      <c r="A38" s="2" t="s">
        <v>97</v>
      </c>
      <c r="B38" s="2" t="s">
        <v>98</v>
      </c>
      <c r="C38" s="2" t="s">
        <v>35</v>
      </c>
      <c r="D38" s="2" t="s">
        <v>15</v>
      </c>
      <c r="E38" s="2" t="n">
        <v>1</v>
      </c>
      <c r="F38" s="2" t="str">
        <f aca="false">IF(OR(ISBLANK($K38),$K38=0,ISNA($K38)),"","YES")</f>
        <v/>
      </c>
      <c r="G38" s="3" t="n">
        <f aca="false">VLOOKUP($B38,'All Employee Structures'!$A$2:$M1000,9,0)</f>
        <v>102501.6</v>
      </c>
      <c r="H38" s="3" t="n">
        <f aca="false">I38*2</f>
        <v>134</v>
      </c>
      <c r="I38" s="3" t="n">
        <f aca="false">VLOOKUP($B38,'All Employee Structures'!$A$2:$M1000,10,0)</f>
        <v>67</v>
      </c>
      <c r="J38" s="3" t="n">
        <f aca="false">VLOOKUP($B38,'All Employee Structures'!$A$2:$M1000,11,0)</f>
        <v>0</v>
      </c>
      <c r="K38" s="3" t="n">
        <f aca="false">VLOOKUP($B38,'All Employee Structures'!$A$2:$M1000,12,0)</f>
        <v>0</v>
      </c>
      <c r="L38" s="3" t="n">
        <f aca="false">VLOOKUP($B38,'All Employee Structures'!$A$2:$M1000,13,0)</f>
        <v>0</v>
      </c>
    </row>
    <row r="39" customFormat="false" ht="14.15" hidden="false" customHeight="false" outlineLevel="0" collapsed="false">
      <c r="A39" s="2" t="s">
        <v>99</v>
      </c>
      <c r="B39" s="2" t="s">
        <v>100</v>
      </c>
      <c r="C39" s="2" t="s">
        <v>101</v>
      </c>
      <c r="D39" s="2" t="s">
        <v>15</v>
      </c>
      <c r="E39" s="2" t="n">
        <v>1</v>
      </c>
      <c r="F39" s="2" t="str">
        <f aca="false">IF(OR(ISBLANK($K39),$K39=0,ISNA($K39)),"","YES")</f>
        <v/>
      </c>
      <c r="G39" s="3" t="n">
        <f aca="false">VLOOKUP($B39,'All Employee Structures'!$A$2:$M1000,9,0)</f>
        <v>106800</v>
      </c>
      <c r="H39" s="3" t="n">
        <f aca="false">I39*2</f>
        <v>1430</v>
      </c>
      <c r="I39" s="3" t="n">
        <f aca="false">VLOOKUP($B39,'All Employee Structures'!$A$2:$M1000,10,0)</f>
        <v>715</v>
      </c>
      <c r="J39" s="3" t="n">
        <f aca="false">VLOOKUP($B39,'All Employee Structures'!$A$2:$M1000,11,0)</f>
        <v>0</v>
      </c>
      <c r="K39" s="3" t="n">
        <f aca="false">VLOOKUP($B39,'All Employee Structures'!$A$2:$M1000,12,0)</f>
        <v>0</v>
      </c>
      <c r="L39" s="3" t="n">
        <f aca="false">VLOOKUP($B39,'All Employee Structures'!$A$2:$M1000,13,0)</f>
        <v>0</v>
      </c>
    </row>
    <row r="40" customFormat="false" ht="14.15" hidden="false" customHeight="false" outlineLevel="0" collapsed="false">
      <c r="A40" s="2" t="s">
        <v>102</v>
      </c>
      <c r="B40" s="2" t="s">
        <v>103</v>
      </c>
      <c r="C40" s="2" t="s">
        <v>35</v>
      </c>
      <c r="D40" s="2" t="s">
        <v>15</v>
      </c>
      <c r="E40" s="2" t="n">
        <v>1</v>
      </c>
      <c r="F40" s="2" t="str">
        <f aca="false">IF(OR(ISBLANK($K40),$K40=0,ISNA($K40)),"","YES")</f>
        <v/>
      </c>
      <c r="G40" s="3" t="n">
        <f aca="false">VLOOKUP($B40,'All Employee Structures'!$A$2:$M1000,9,0)</f>
        <v>84000</v>
      </c>
      <c r="H40" s="3" t="n">
        <f aca="false">I40*2</f>
        <v>1092</v>
      </c>
      <c r="I40" s="3" t="n">
        <f aca="false">VLOOKUP($B40,'All Employee Structures'!$A$2:$M1000,10,0)</f>
        <v>546</v>
      </c>
      <c r="J40" s="3" t="n">
        <f aca="false">VLOOKUP($B40,'All Employee Structures'!$A$2:$M1000,11,0)</f>
        <v>0</v>
      </c>
      <c r="K40" s="3" t="n">
        <f aca="false">VLOOKUP($B40,'All Employee Structures'!$A$2:$M1000,12,0)</f>
        <v>0</v>
      </c>
      <c r="L40" s="3" t="n">
        <f aca="false">VLOOKUP($B40,'All Employee Structures'!$A$2:$M1000,13,0)</f>
        <v>0</v>
      </c>
    </row>
    <row r="41" customFormat="false" ht="14.15" hidden="false" customHeight="false" outlineLevel="0" collapsed="false">
      <c r="A41" s="2" t="s">
        <v>104</v>
      </c>
      <c r="B41" s="2" t="s">
        <v>105</v>
      </c>
      <c r="C41" s="2" t="s">
        <v>46</v>
      </c>
      <c r="D41" s="2" t="s">
        <v>15</v>
      </c>
      <c r="E41" s="2" t="n">
        <v>1</v>
      </c>
      <c r="F41" s="2" t="str">
        <f aca="false">IF(OR(ISBLANK($K41),$K41=0,ISNA($K41)),"","YES")</f>
        <v/>
      </c>
      <c r="G41" s="3" t="n">
        <f aca="false">VLOOKUP($B41,'All Employee Structures'!$A$2:$M1000,9,0)</f>
        <v>72000</v>
      </c>
      <c r="H41" s="3" t="n">
        <f aca="false">I41*2</f>
        <v>672</v>
      </c>
      <c r="I41" s="3" t="n">
        <f aca="false">VLOOKUP($B41,'All Employee Structures'!$A$2:$M1000,10,0)</f>
        <v>336</v>
      </c>
      <c r="J41" s="3" t="n">
        <f aca="false">VLOOKUP($B41,'All Employee Structures'!$A$2:$M1000,11,0)</f>
        <v>0</v>
      </c>
      <c r="K41" s="3" t="n">
        <f aca="false">VLOOKUP($B41,'All Employee Structures'!$A$2:$M1000,12,0)</f>
        <v>0</v>
      </c>
      <c r="L41" s="3" t="n">
        <f aca="false">VLOOKUP($B41,'All Employee Structures'!$A$2:$M1000,13,0)</f>
        <v>0</v>
      </c>
    </row>
    <row r="42" customFormat="false" ht="14.15" hidden="false" customHeight="false" outlineLevel="0" collapsed="false">
      <c r="A42" s="2" t="s">
        <v>106</v>
      </c>
      <c r="B42" s="2" t="s">
        <v>107</v>
      </c>
      <c r="C42" s="2" t="s">
        <v>35</v>
      </c>
      <c r="D42" s="2" t="s">
        <v>15</v>
      </c>
      <c r="E42" s="2" t="n">
        <v>1</v>
      </c>
      <c r="F42" s="2" t="str">
        <f aca="false">IF(OR(ISBLANK($K42),$K42=0,ISNA($K42)),"","YES")</f>
        <v/>
      </c>
      <c r="G42" s="3" t="n">
        <f aca="false">VLOOKUP($B42,'All Employee Structures'!$A$2:$M1000,9,0)</f>
        <v>120506.4</v>
      </c>
      <c r="H42" s="3" t="n">
        <f aca="false">I42*2</f>
        <v>556</v>
      </c>
      <c r="I42" s="3" t="n">
        <f aca="false">VLOOKUP($B42,'All Employee Structures'!$A$2:$M1000,10,0)</f>
        <v>278</v>
      </c>
      <c r="J42" s="3" t="n">
        <f aca="false">VLOOKUP($B42,'All Employee Structures'!$A$2:$M1000,11,0)</f>
        <v>0</v>
      </c>
      <c r="K42" s="3" t="n">
        <f aca="false">VLOOKUP($B42,'All Employee Structures'!$A$2:$M1000,12,0)</f>
        <v>0</v>
      </c>
      <c r="L42" s="3" t="n">
        <f aca="false">VLOOKUP($B42,'All Employee Structures'!$A$2:$M1000,13,0)</f>
        <v>0</v>
      </c>
    </row>
    <row r="43" customFormat="false" ht="14.15" hidden="false" customHeight="false" outlineLevel="0" collapsed="false">
      <c r="A43" s="2" t="s">
        <v>108</v>
      </c>
      <c r="B43" s="2" t="s">
        <v>109</v>
      </c>
      <c r="C43" s="2" t="s">
        <v>101</v>
      </c>
      <c r="D43" s="2" t="s">
        <v>15</v>
      </c>
      <c r="E43" s="2" t="n">
        <v>1</v>
      </c>
      <c r="F43" s="2" t="str">
        <f aca="false">IF(OR(ISBLANK($K43),$K43=0,ISNA($K43)),"","YES")</f>
        <v/>
      </c>
      <c r="G43" s="3" t="n">
        <f aca="false">VLOOKUP($B43,'All Employee Structures'!$A$2:$M1000,9,0)</f>
        <v>94800</v>
      </c>
      <c r="H43" s="3" t="n">
        <f aca="false">I43*2</f>
        <v>934</v>
      </c>
      <c r="I43" s="3" t="n">
        <f aca="false">VLOOKUP($B43,'All Employee Structures'!$A$2:$M1000,10,0)</f>
        <v>467</v>
      </c>
      <c r="J43" s="3" t="n">
        <f aca="false">VLOOKUP($B43,'All Employee Structures'!$A$2:$M1000,11,0)</f>
        <v>0</v>
      </c>
      <c r="K43" s="3" t="n">
        <f aca="false">VLOOKUP($B43,'All Employee Structures'!$A$2:$M1000,12,0)</f>
        <v>0</v>
      </c>
      <c r="L43" s="3" t="n">
        <f aca="false">VLOOKUP($B43,'All Employee Structures'!$A$2:$M1000,13,0)</f>
        <v>0</v>
      </c>
    </row>
    <row r="44" customFormat="false" ht="14.15" hidden="false" customHeight="false" outlineLevel="0" collapsed="false">
      <c r="A44" s="2" t="s">
        <v>110</v>
      </c>
      <c r="B44" s="2" t="s">
        <v>111</v>
      </c>
      <c r="C44" s="2" t="s">
        <v>35</v>
      </c>
      <c r="D44" s="2" t="s">
        <v>15</v>
      </c>
      <c r="E44" s="2" t="n">
        <v>1</v>
      </c>
      <c r="F44" s="2" t="str">
        <f aca="false">IF(OR(ISBLANK($K44),$K44=0,ISNA($K44)),"","YES")</f>
        <v/>
      </c>
      <c r="G44" s="3" t="n">
        <f aca="false">VLOOKUP($B44,'All Employee Structures'!$A$2:$M1000,9,0)</f>
        <v>97855.2</v>
      </c>
      <c r="H44" s="3" t="n">
        <f aca="false">I44*2</f>
        <v>354</v>
      </c>
      <c r="I44" s="3" t="n">
        <f aca="false">VLOOKUP($B44,'All Employee Structures'!$A$2:$M1000,10,0)</f>
        <v>177</v>
      </c>
      <c r="J44" s="3" t="n">
        <f aca="false">VLOOKUP($B44,'All Employee Structures'!$A$2:$M1000,11,0)</f>
        <v>0</v>
      </c>
      <c r="K44" s="3" t="n">
        <f aca="false">VLOOKUP($B44,'All Employee Structures'!$A$2:$M1000,12,0)</f>
        <v>0</v>
      </c>
      <c r="L44" s="3" t="n">
        <f aca="false">VLOOKUP($B44,'All Employee Structures'!$A$2:$M1000,13,0)</f>
        <v>0</v>
      </c>
    </row>
    <row r="45" customFormat="false" ht="14.15" hidden="false" customHeight="false" outlineLevel="0" collapsed="false">
      <c r="A45" s="2" t="s">
        <v>112</v>
      </c>
      <c r="B45" s="2" t="s">
        <v>113</v>
      </c>
      <c r="C45" s="2" t="s">
        <v>114</v>
      </c>
      <c r="D45" s="2" t="s">
        <v>15</v>
      </c>
      <c r="E45" s="2" t="n">
        <v>1</v>
      </c>
      <c r="F45" s="2" t="str">
        <f aca="false">IF(OR(ISBLANK($K45),$K45=0,ISNA($K45)),"","YES")</f>
        <v/>
      </c>
      <c r="G45" s="3" t="n">
        <f aca="false">VLOOKUP($B45,'All Employee Structures'!$A$2:$M1000,9,0)</f>
        <v>158400</v>
      </c>
      <c r="H45" s="3" t="n">
        <f aca="false">I45*2</f>
        <v>1640</v>
      </c>
      <c r="I45" s="3" t="n">
        <f aca="false">VLOOKUP($B45,'All Employee Structures'!$A$2:$M1000,10,0)</f>
        <v>820</v>
      </c>
      <c r="J45" s="3" t="n">
        <f aca="false">VLOOKUP($B45,'All Employee Structures'!$A$2:$M1000,11,0)</f>
        <v>0</v>
      </c>
      <c r="K45" s="3" t="n">
        <f aca="false">VLOOKUP($B45,'All Employee Structures'!$A$2:$M1000,12,0)</f>
        <v>0</v>
      </c>
      <c r="L45" s="3" t="n">
        <f aca="false">VLOOKUP($B45,'All Employee Structures'!$A$2:$M1000,13,0)</f>
        <v>0</v>
      </c>
    </row>
    <row r="46" customFormat="false" ht="14.15" hidden="false" customHeight="false" outlineLevel="0" collapsed="false">
      <c r="A46" s="2" t="s">
        <v>115</v>
      </c>
      <c r="B46" s="2" t="s">
        <v>116</v>
      </c>
      <c r="C46" s="2" t="s">
        <v>35</v>
      </c>
      <c r="D46" s="2" t="s">
        <v>15</v>
      </c>
      <c r="E46" s="2" t="n">
        <v>1</v>
      </c>
      <c r="F46" s="2" t="str">
        <f aca="false">IF(OR(ISBLANK($K46),$K46=0,ISNA($K46)),"","YES")</f>
        <v/>
      </c>
      <c r="G46" s="3" t="n">
        <f aca="false">VLOOKUP($B46,'All Employee Structures'!$A$2:$M1000,9,0)</f>
        <v>102501.6</v>
      </c>
      <c r="H46" s="3" t="n">
        <f aca="false">I46*2</f>
        <v>442</v>
      </c>
      <c r="I46" s="3" t="n">
        <f aca="false">VLOOKUP($B46,'All Employee Structures'!$A$2:$M1000,10,0)</f>
        <v>221</v>
      </c>
      <c r="J46" s="3" t="n">
        <f aca="false">VLOOKUP($B46,'All Employee Structures'!$A$2:$M1000,11,0)</f>
        <v>0</v>
      </c>
      <c r="K46" s="3" t="n">
        <f aca="false">VLOOKUP($B46,'All Employee Structures'!$A$2:$M1000,12,0)</f>
        <v>0</v>
      </c>
      <c r="L46" s="3" t="n">
        <f aca="false">VLOOKUP($B46,'All Employee Structures'!$A$2:$M1000,13,0)</f>
        <v>0</v>
      </c>
    </row>
    <row r="47" customFormat="false" ht="14.15" hidden="false" customHeight="false" outlineLevel="0" collapsed="false">
      <c r="A47" s="2" t="s">
        <v>117</v>
      </c>
      <c r="B47" s="2" t="s">
        <v>118</v>
      </c>
      <c r="C47" s="2" t="s">
        <v>35</v>
      </c>
      <c r="D47" s="2" t="s">
        <v>15</v>
      </c>
      <c r="E47" s="2" t="n">
        <v>1</v>
      </c>
      <c r="F47" s="2" t="str">
        <f aca="false">IF(OR(ISBLANK($K47),$K47=0,ISNA($K47)),"","YES")</f>
        <v/>
      </c>
      <c r="G47" s="3" t="n">
        <f aca="false">VLOOKUP($B47,'All Employee Structures'!$A$2:$M1000,9,0)</f>
        <v>109906.8</v>
      </c>
      <c r="H47" s="3" t="n">
        <f aca="false">I47*2</f>
        <v>630</v>
      </c>
      <c r="I47" s="3" t="n">
        <f aca="false">VLOOKUP($B47,'All Employee Structures'!$A$2:$M1000,10,0)</f>
        <v>315</v>
      </c>
      <c r="J47" s="3" t="n">
        <f aca="false">VLOOKUP($B47,'All Employee Structures'!$A$2:$M1000,11,0)</f>
        <v>0</v>
      </c>
      <c r="K47" s="3" t="n">
        <f aca="false">VLOOKUP($B47,'All Employee Structures'!$A$2:$M1000,12,0)</f>
        <v>0</v>
      </c>
      <c r="L47" s="3" t="n">
        <f aca="false">VLOOKUP($B47,'All Employee Structures'!$A$2:$M1000,13,0)</f>
        <v>0</v>
      </c>
    </row>
    <row r="48" customFormat="false" ht="14.15" hidden="false" customHeight="false" outlineLevel="0" collapsed="false">
      <c r="A48" s="2" t="s">
        <v>119</v>
      </c>
      <c r="B48" s="2" t="s">
        <v>120</v>
      </c>
      <c r="C48" s="2" t="s">
        <v>35</v>
      </c>
      <c r="D48" s="2" t="s">
        <v>15</v>
      </c>
      <c r="E48" s="2" t="n">
        <v>1</v>
      </c>
      <c r="F48" s="2" t="str">
        <f aca="false">IF(OR(ISBLANK($K48),$K48=0,ISNA($K48)),"","YES")</f>
        <v/>
      </c>
      <c r="G48" s="3" t="n">
        <f aca="false">VLOOKUP($B48,'All Employee Structures'!$A$2:$M1000,9,0)</f>
        <v>112810.8</v>
      </c>
      <c r="H48" s="3" t="n">
        <f aca="false">I48*2</f>
        <v>442</v>
      </c>
      <c r="I48" s="3" t="n">
        <f aca="false">VLOOKUP($B48,'All Employee Structures'!$A$2:$M1000,10,0)</f>
        <v>221</v>
      </c>
      <c r="J48" s="3" t="n">
        <f aca="false">VLOOKUP($B48,'All Employee Structures'!$A$2:$M1000,11,0)</f>
        <v>0</v>
      </c>
      <c r="K48" s="3" t="n">
        <f aca="false">VLOOKUP($B48,'All Employee Structures'!$A$2:$M1000,12,0)</f>
        <v>0</v>
      </c>
      <c r="L48" s="3" t="n">
        <f aca="false">VLOOKUP($B48,'All Employee Structures'!$A$2:$M1000,13,0)</f>
        <v>0</v>
      </c>
    </row>
    <row r="49" customFormat="false" ht="14.15" hidden="false" customHeight="false" outlineLevel="0" collapsed="false">
      <c r="A49" s="2" t="s">
        <v>121</v>
      </c>
      <c r="B49" s="2" t="s">
        <v>122</v>
      </c>
      <c r="C49" s="2" t="s">
        <v>32</v>
      </c>
      <c r="D49" s="2" t="s">
        <v>15</v>
      </c>
      <c r="E49" s="2" t="n">
        <v>1</v>
      </c>
      <c r="F49" s="2" t="str">
        <f aca="false">IF(OR(ISBLANK($K49),$K49=0,ISNA($K49)),"","YES")</f>
        <v/>
      </c>
      <c r="G49" s="3" t="n">
        <f aca="false">VLOOKUP($B49,'All Employee Structures'!$A$2:$M1000,9,0)</f>
        <v>123420</v>
      </c>
      <c r="H49" s="3" t="n">
        <f aca="false">I49*2</f>
        <v>748</v>
      </c>
      <c r="I49" s="3" t="n">
        <f aca="false">VLOOKUP($B49,'All Employee Structures'!$A$2:$M1000,10,0)</f>
        <v>374</v>
      </c>
      <c r="J49" s="3" t="n">
        <f aca="false">VLOOKUP($B49,'All Employee Structures'!$A$2:$M1000,11,0)</f>
        <v>0</v>
      </c>
      <c r="K49" s="3" t="n">
        <f aca="false">VLOOKUP($B49,'All Employee Structures'!$A$2:$M1000,12,0)</f>
        <v>0</v>
      </c>
      <c r="L49" s="3" t="n">
        <f aca="false">VLOOKUP($B49,'All Employee Structures'!$A$2:$M1000,13,0)</f>
        <v>0</v>
      </c>
    </row>
    <row r="50" customFormat="false" ht="14.15" hidden="false" customHeight="false" outlineLevel="0" collapsed="false">
      <c r="A50" s="2" t="s">
        <v>123</v>
      </c>
      <c r="B50" s="2" t="s">
        <v>124</v>
      </c>
      <c r="C50" s="2" t="s">
        <v>14</v>
      </c>
      <c r="D50" s="2" t="s">
        <v>15</v>
      </c>
      <c r="E50" s="2" t="n">
        <v>1</v>
      </c>
      <c r="F50" s="2" t="str">
        <f aca="false">IF(OR(ISBLANK($K50),$K50=0,ISNA($K50)),"","YES")</f>
        <v/>
      </c>
      <c r="G50" s="3" t="n">
        <f aca="false">VLOOKUP($B50,'All Employee Structures'!$A$2:$M1000,9,0)</f>
        <v>290400</v>
      </c>
      <c r="H50" s="3" t="n">
        <f aca="false">I50*2</f>
        <v>1120</v>
      </c>
      <c r="I50" s="3" t="n">
        <f aca="false">VLOOKUP($B50,'All Employee Structures'!$A$2:$M1000,10,0)</f>
        <v>560</v>
      </c>
      <c r="J50" s="3" t="n">
        <f aca="false">VLOOKUP($B50,'All Employee Structures'!$A$2:$M1000,11,0)</f>
        <v>0</v>
      </c>
      <c r="K50" s="3" t="n">
        <f aca="false">VLOOKUP($B50,'All Employee Structures'!$A$2:$M1000,12,0)</f>
        <v>0</v>
      </c>
      <c r="L50" s="3" t="n">
        <f aca="false">VLOOKUP($B50,'All Employee Structures'!$A$2:$M1000,13,0)</f>
        <v>0</v>
      </c>
    </row>
    <row r="51" customFormat="false" ht="14.15" hidden="false" customHeight="false" outlineLevel="0" collapsed="false">
      <c r="A51" s="2" t="s">
        <v>125</v>
      </c>
      <c r="B51" s="2" t="s">
        <v>126</v>
      </c>
      <c r="C51" s="2" t="s">
        <v>35</v>
      </c>
      <c r="D51" s="2" t="s">
        <v>15</v>
      </c>
      <c r="E51" s="2" t="n">
        <v>1</v>
      </c>
      <c r="F51" s="2" t="str">
        <f aca="false">IF(OR(ISBLANK($K51),$K51=0,ISNA($K51)),"","YES")</f>
        <v/>
      </c>
      <c r="G51" s="3" t="n">
        <f aca="false">VLOOKUP($B51,'All Employee Structures'!$A$2:$M1000,9,0)</f>
        <v>84000</v>
      </c>
      <c r="H51" s="3" t="n">
        <f aca="false">I51*2</f>
        <v>0</v>
      </c>
      <c r="I51" s="3" t="n">
        <f aca="false">VLOOKUP($B51,'All Employee Structures'!$A$2:$M1000,10,0)</f>
        <v>0</v>
      </c>
      <c r="J51" s="3" t="n">
        <f aca="false">VLOOKUP($B51,'All Employee Structures'!$A$2:$M1000,11,0)</f>
        <v>0</v>
      </c>
      <c r="K51" s="3" t="n">
        <f aca="false">VLOOKUP($B51,'All Employee Structures'!$A$2:$M1000,12,0)</f>
        <v>0</v>
      </c>
      <c r="L51" s="3" t="n">
        <f aca="false">VLOOKUP($B51,'All Employee Structures'!$A$2:$M1000,13,0)</f>
        <v>0</v>
      </c>
    </row>
    <row r="52" customFormat="false" ht="14.15" hidden="false" customHeight="false" outlineLevel="0" collapsed="false">
      <c r="A52" s="2" t="s">
        <v>127</v>
      </c>
      <c r="B52" s="2" t="s">
        <v>128</v>
      </c>
      <c r="C52" s="2" t="s">
        <v>14</v>
      </c>
      <c r="D52" s="2" t="s">
        <v>15</v>
      </c>
      <c r="E52" s="2" t="n">
        <v>1</v>
      </c>
      <c r="F52" s="2" t="str">
        <f aca="false">IF(OR(ISBLANK($K52),$K52=0,ISNA($K52)),"","YES")</f>
        <v/>
      </c>
      <c r="G52" s="3" t="n">
        <f aca="false">VLOOKUP($B52,'All Employee Structures'!$A$2:$M1000,9,0)</f>
        <v>112200</v>
      </c>
      <c r="H52" s="3" t="n">
        <f aca="false">I52*2</f>
        <v>748</v>
      </c>
      <c r="I52" s="3" t="n">
        <f aca="false">VLOOKUP($B52,'All Employee Structures'!$A$2:$M1000,10,0)</f>
        <v>374</v>
      </c>
      <c r="J52" s="3" t="n">
        <f aca="false">VLOOKUP($B52,'All Employee Structures'!$A$2:$M1000,11,0)</f>
        <v>0</v>
      </c>
      <c r="K52" s="3" t="n">
        <f aca="false">VLOOKUP($B52,'All Employee Structures'!$A$2:$M1000,12,0)</f>
        <v>0</v>
      </c>
      <c r="L52" s="3" t="n">
        <f aca="false">VLOOKUP($B52,'All Employee Structures'!$A$2:$M1000,13,0)</f>
        <v>0</v>
      </c>
    </row>
    <row r="53" customFormat="false" ht="14.15" hidden="false" customHeight="false" outlineLevel="0" collapsed="false">
      <c r="A53" s="2" t="s">
        <v>129</v>
      </c>
      <c r="B53" s="2" t="s">
        <v>130</v>
      </c>
      <c r="C53" s="2" t="s">
        <v>32</v>
      </c>
      <c r="D53" s="2" t="s">
        <v>15</v>
      </c>
      <c r="E53" s="2" t="n">
        <v>1</v>
      </c>
      <c r="F53" s="2" t="str">
        <f aca="false">IF(OR(ISBLANK($K53),$K53=0,ISNA($K53)),"","YES")</f>
        <v/>
      </c>
      <c r="G53" s="3" t="n">
        <f aca="false">VLOOKUP($B53,'All Employee Structures'!$A$2:$M1000,9,0)</f>
        <v>123420</v>
      </c>
      <c r="H53" s="3" t="n">
        <f aca="false">I53*2</f>
        <v>522</v>
      </c>
      <c r="I53" s="3" t="n">
        <f aca="false">VLOOKUP($B53,'All Employee Structures'!$A$2:$M1000,10,0)</f>
        <v>261</v>
      </c>
      <c r="J53" s="3" t="n">
        <f aca="false">VLOOKUP($B53,'All Employee Structures'!$A$2:$M1000,11,0)</f>
        <v>0</v>
      </c>
      <c r="K53" s="3" t="n">
        <f aca="false">VLOOKUP($B53,'All Employee Structures'!$A$2:$M1000,12,0)</f>
        <v>0</v>
      </c>
      <c r="L53" s="3" t="n">
        <f aca="false">VLOOKUP($B53,'All Employee Structures'!$A$2:$M1000,13,0)</f>
        <v>0</v>
      </c>
    </row>
    <row r="54" customFormat="false" ht="14.15" hidden="false" customHeight="false" outlineLevel="0" collapsed="false">
      <c r="A54" s="2" t="s">
        <v>131</v>
      </c>
      <c r="B54" s="2" t="s">
        <v>132</v>
      </c>
      <c r="C54" s="2" t="s">
        <v>101</v>
      </c>
      <c r="D54" s="2" t="s">
        <v>15</v>
      </c>
      <c r="E54" s="2" t="n">
        <v>1</v>
      </c>
      <c r="F54" s="2" t="str">
        <f aca="false">IF(OR(ISBLANK($K54),$K54=0,ISNA($K54)),"","YES")</f>
        <v/>
      </c>
      <c r="G54" s="3" t="n">
        <f aca="false">VLOOKUP($B54,'All Employee Structures'!$A$2:$M1000,9,0)</f>
        <v>94800</v>
      </c>
      <c r="H54" s="3" t="n">
        <f aca="false">I54*2</f>
        <v>258</v>
      </c>
      <c r="I54" s="3" t="n">
        <f aca="false">VLOOKUP($B54,'All Employee Structures'!$A$2:$M1000,10,0)</f>
        <v>129</v>
      </c>
      <c r="J54" s="3" t="n">
        <f aca="false">VLOOKUP($B54,'All Employee Structures'!$A$2:$M1000,11,0)</f>
        <v>0</v>
      </c>
      <c r="K54" s="3" t="n">
        <f aca="false">VLOOKUP($B54,'All Employee Structures'!$A$2:$M1000,12,0)</f>
        <v>0</v>
      </c>
      <c r="L54" s="3" t="n">
        <f aca="false">VLOOKUP($B54,'All Employee Structures'!$A$2:$M1000,13,0)</f>
        <v>0</v>
      </c>
    </row>
    <row r="55" customFormat="false" ht="14.15" hidden="false" customHeight="false" outlineLevel="0" collapsed="false">
      <c r="A55" s="2" t="s">
        <v>133</v>
      </c>
      <c r="B55" s="2" t="s">
        <v>134</v>
      </c>
      <c r="C55" s="2" t="s">
        <v>135</v>
      </c>
      <c r="D55" s="2" t="s">
        <v>15</v>
      </c>
      <c r="E55" s="2" t="n">
        <v>1</v>
      </c>
      <c r="F55" s="2" t="str">
        <f aca="false">IF(OR(ISBLANK($K55),$K55=0,ISNA($K55)),"","YES")</f>
        <v/>
      </c>
      <c r="G55" s="3" t="n">
        <f aca="false">VLOOKUP($B55,'All Employee Structures'!$A$2:$M1000,9,0)</f>
        <v>60000</v>
      </c>
      <c r="H55" s="3" t="n">
        <f aca="false">I55*2</f>
        <v>530</v>
      </c>
      <c r="I55" s="3" t="n">
        <f aca="false">VLOOKUP($B55,'All Employee Structures'!$A$2:$M1000,10,0)</f>
        <v>265</v>
      </c>
      <c r="J55" s="3" t="n">
        <f aca="false">VLOOKUP($B55,'All Employee Structures'!$A$2:$M1000,11,0)</f>
        <v>0</v>
      </c>
      <c r="K55" s="3" t="n">
        <f aca="false">VLOOKUP($B55,'All Employee Structures'!$A$2:$M1000,12,0)</f>
        <v>0</v>
      </c>
      <c r="L55" s="3" t="n">
        <f aca="false">VLOOKUP($B55,'All Employee Structures'!$A$2:$M1000,13,0)</f>
        <v>0</v>
      </c>
    </row>
    <row r="56" customFormat="false" ht="14.15" hidden="false" customHeight="false" outlineLevel="0" collapsed="false">
      <c r="A56" s="2" t="s">
        <v>136</v>
      </c>
      <c r="B56" s="2" t="s">
        <v>137</v>
      </c>
      <c r="C56" s="2" t="s">
        <v>32</v>
      </c>
      <c r="D56" s="2" t="s">
        <v>15</v>
      </c>
      <c r="E56" s="2" t="n">
        <v>1</v>
      </c>
      <c r="F56" s="2" t="str">
        <f aca="false">IF(OR(ISBLANK($K56),$K56=0,ISNA($K56)),"","YES")</f>
        <v/>
      </c>
      <c r="G56" s="3" t="n">
        <f aca="false">VLOOKUP($B56,'All Employee Structures'!$A$2:$M1000,9,0)</f>
        <v>137940</v>
      </c>
      <c r="H56" s="3" t="n">
        <f aca="false">I56*2</f>
        <v>1090</v>
      </c>
      <c r="I56" s="3" t="n">
        <f aca="false">VLOOKUP($B56,'All Employee Structures'!$A$2:$M1000,10,0)</f>
        <v>545</v>
      </c>
      <c r="J56" s="3" t="n">
        <f aca="false">VLOOKUP($B56,'All Employee Structures'!$A$2:$M1000,11,0)</f>
        <v>0</v>
      </c>
      <c r="K56" s="3" t="n">
        <f aca="false">VLOOKUP($B56,'All Employee Structures'!$A$2:$M1000,12,0)</f>
        <v>0</v>
      </c>
      <c r="L56" s="3" t="n">
        <f aca="false">VLOOKUP($B56,'All Employee Structures'!$A$2:$M1000,13,0)</f>
        <v>0</v>
      </c>
    </row>
    <row r="57" customFormat="false" ht="14.15" hidden="false" customHeight="false" outlineLevel="0" collapsed="false">
      <c r="A57" s="2" t="s">
        <v>138</v>
      </c>
      <c r="B57" s="2" t="s">
        <v>139</v>
      </c>
      <c r="C57" s="2" t="s">
        <v>35</v>
      </c>
      <c r="D57" s="2" t="s">
        <v>15</v>
      </c>
      <c r="E57" s="2" t="n">
        <v>1</v>
      </c>
      <c r="F57" s="2" t="str">
        <f aca="false">IF(OR(ISBLANK($K57),$K57=0,ISNA($K57)),"","YES")</f>
        <v/>
      </c>
      <c r="G57" s="3" t="n">
        <f aca="false">VLOOKUP($B57,'All Employee Structures'!$A$2:$M1000,9,0)</f>
        <v>168132</v>
      </c>
      <c r="H57" s="3" t="n">
        <f aca="false">I57*2</f>
        <v>542</v>
      </c>
      <c r="I57" s="3" t="n">
        <f aca="false">VLOOKUP($B57,'All Employee Structures'!$A$2:$M1000,10,0)</f>
        <v>271</v>
      </c>
      <c r="J57" s="3" t="n">
        <f aca="false">VLOOKUP($B57,'All Employee Structures'!$A$2:$M1000,11,0)</f>
        <v>0</v>
      </c>
      <c r="K57" s="3" t="n">
        <f aca="false">VLOOKUP($B57,'All Employee Structures'!$A$2:$M1000,12,0)</f>
        <v>0</v>
      </c>
      <c r="L57" s="3" t="n">
        <f aca="false">VLOOKUP($B57,'All Employee Structures'!$A$2:$M1000,13,0)</f>
        <v>0</v>
      </c>
    </row>
    <row r="58" customFormat="false" ht="14.15" hidden="false" customHeight="false" outlineLevel="0" collapsed="false">
      <c r="A58" s="2" t="s">
        <v>140</v>
      </c>
      <c r="B58" s="2" t="s">
        <v>141</v>
      </c>
      <c r="C58" s="2" t="s">
        <v>142</v>
      </c>
      <c r="D58" s="2" t="s">
        <v>15</v>
      </c>
      <c r="E58" s="2" t="n">
        <v>1</v>
      </c>
      <c r="F58" s="2" t="str">
        <f aca="false">IF(OR(ISBLANK($K58),$K58=0,ISNA($K58)),"","YES")</f>
        <v/>
      </c>
      <c r="G58" s="3" t="n">
        <f aca="false">VLOOKUP($B58,'All Employee Structures'!$A$2:$M1000,9,0)</f>
        <v>123420</v>
      </c>
      <c r="H58" s="3" t="n">
        <f aca="false">I58*2</f>
        <v>0</v>
      </c>
      <c r="I58" s="3" t="n">
        <f aca="false">VLOOKUP($B58,'All Employee Structures'!$A$2:$M1000,10,0)</f>
        <v>0</v>
      </c>
      <c r="J58" s="3" t="n">
        <f aca="false">VLOOKUP($B58,'All Employee Structures'!$A$2:$M1000,11,0)</f>
        <v>0</v>
      </c>
      <c r="K58" s="3" t="n">
        <f aca="false">VLOOKUP($B58,'All Employee Structures'!$A$2:$M1000,12,0)</f>
        <v>0</v>
      </c>
      <c r="L58" s="3" t="n">
        <f aca="false">VLOOKUP($B58,'All Employee Structures'!$A$2:$M1000,13,0)</f>
        <v>0</v>
      </c>
    </row>
    <row r="59" customFormat="false" ht="14.15" hidden="false" customHeight="false" outlineLevel="0" collapsed="false">
      <c r="A59" s="2" t="s">
        <v>143</v>
      </c>
      <c r="B59" s="2" t="s">
        <v>144</v>
      </c>
      <c r="C59" s="2" t="s">
        <v>145</v>
      </c>
      <c r="D59" s="2" t="s">
        <v>15</v>
      </c>
      <c r="E59" s="2" t="n">
        <v>1</v>
      </c>
      <c r="F59" s="2" t="str">
        <f aca="false">IF(OR(ISBLANK($K59),$K59=0,ISNA($K59)),"","YES")</f>
        <v/>
      </c>
      <c r="G59" s="3" t="n">
        <f aca="false">VLOOKUP($B59,'All Employee Structures'!$A$2:$M1000,9,0)</f>
        <v>68400</v>
      </c>
      <c r="H59" s="3" t="n">
        <f aca="false">I59*2</f>
        <v>740</v>
      </c>
      <c r="I59" s="3" t="n">
        <f aca="false">VLOOKUP($B59,'All Employee Structures'!$A$2:$M1000,10,0)</f>
        <v>370</v>
      </c>
      <c r="J59" s="3" t="n">
        <f aca="false">VLOOKUP($B59,'All Employee Structures'!$A$2:$M1000,11,0)</f>
        <v>0</v>
      </c>
      <c r="K59" s="3" t="n">
        <f aca="false">VLOOKUP($B59,'All Employee Structures'!$A$2:$M1000,12,0)</f>
        <v>0</v>
      </c>
      <c r="L59" s="3" t="n">
        <f aca="false">VLOOKUP($B59,'All Employee Structures'!$A$2:$M1000,13,0)</f>
        <v>0</v>
      </c>
    </row>
    <row r="60" customFormat="false" ht="14.15" hidden="false" customHeight="false" outlineLevel="0" collapsed="false">
      <c r="A60" s="2" t="s">
        <v>146</v>
      </c>
      <c r="B60" s="2" t="s">
        <v>147</v>
      </c>
      <c r="C60" s="2" t="s">
        <v>145</v>
      </c>
      <c r="D60" s="2" t="s">
        <v>15</v>
      </c>
      <c r="E60" s="2" t="n">
        <v>1</v>
      </c>
      <c r="F60" s="2" t="str">
        <f aca="false">IF(OR(ISBLANK($K60),$K60=0,ISNA($K60)),"","YES")</f>
        <v/>
      </c>
      <c r="G60" s="3" t="n">
        <f aca="false">VLOOKUP($B60,'All Employee Structures'!$A$2:$M1000,9,0)</f>
        <v>68400</v>
      </c>
      <c r="H60" s="3" t="n">
        <f aca="false">I60*2</f>
        <v>816</v>
      </c>
      <c r="I60" s="3" t="n">
        <f aca="false">VLOOKUP($B60,'All Employee Structures'!$A$2:$M1000,10,0)</f>
        <v>408</v>
      </c>
      <c r="J60" s="3" t="n">
        <f aca="false">VLOOKUP($B60,'All Employee Structures'!$A$2:$M1000,11,0)</f>
        <v>0</v>
      </c>
      <c r="K60" s="3" t="n">
        <f aca="false">VLOOKUP($B60,'All Employee Structures'!$A$2:$M1000,12,0)</f>
        <v>0</v>
      </c>
      <c r="L60" s="3" t="n">
        <f aca="false">VLOOKUP($B60,'All Employee Structures'!$A$2:$M1000,13,0)</f>
        <v>0</v>
      </c>
    </row>
    <row r="61" customFormat="false" ht="14.15" hidden="false" customHeight="false" outlineLevel="0" collapsed="false">
      <c r="A61" s="2" t="s">
        <v>148</v>
      </c>
      <c r="B61" s="2" t="s">
        <v>149</v>
      </c>
      <c r="C61" s="2" t="s">
        <v>145</v>
      </c>
      <c r="D61" s="2" t="s">
        <v>15</v>
      </c>
      <c r="E61" s="2" t="n">
        <v>1</v>
      </c>
      <c r="F61" s="2" t="str">
        <f aca="false">IF(OR(ISBLANK($K61),$K61=0,ISNA($K61)),"","YES")</f>
        <v/>
      </c>
      <c r="G61" s="3" t="n">
        <f aca="false">VLOOKUP($B61,'All Employee Structures'!$A$2:$M1000,9,0)</f>
        <v>96000</v>
      </c>
      <c r="H61" s="3" t="n">
        <f aca="false">I61*2</f>
        <v>820</v>
      </c>
      <c r="I61" s="3" t="n">
        <f aca="false">VLOOKUP($B61,'All Employee Structures'!$A$2:$M1000,10,0)</f>
        <v>410</v>
      </c>
      <c r="J61" s="3" t="n">
        <f aca="false">VLOOKUP($B61,'All Employee Structures'!$A$2:$M1000,11,0)</f>
        <v>0</v>
      </c>
      <c r="K61" s="3" t="n">
        <f aca="false">VLOOKUP($B61,'All Employee Structures'!$A$2:$M1000,12,0)</f>
        <v>0</v>
      </c>
      <c r="L61" s="3" t="n">
        <f aca="false">VLOOKUP($B61,'All Employee Structures'!$A$2:$M1000,13,0)</f>
        <v>0</v>
      </c>
    </row>
    <row r="62" customFormat="false" ht="14.15" hidden="false" customHeight="false" outlineLevel="0" collapsed="false">
      <c r="A62" s="2" t="s">
        <v>150</v>
      </c>
      <c r="B62" s="2" t="s">
        <v>151</v>
      </c>
      <c r="C62" s="2" t="s">
        <v>35</v>
      </c>
      <c r="D62" s="2" t="s">
        <v>15</v>
      </c>
      <c r="E62" s="2" t="n">
        <v>1</v>
      </c>
      <c r="F62" s="2" t="str">
        <f aca="false">IF(OR(ISBLANK($K62),$K62=0,ISNA($K62)),"","YES")</f>
        <v/>
      </c>
      <c r="G62" s="3" t="n">
        <f aca="false">VLOOKUP($B62,'All Employee Structures'!$A$2:$M1000,9,0)</f>
        <v>84000</v>
      </c>
      <c r="H62" s="3" t="n">
        <f aca="false">I62*2</f>
        <v>308</v>
      </c>
      <c r="I62" s="3" t="n">
        <f aca="false">VLOOKUP($B62,'All Employee Structures'!$A$2:$M1000,10,0)</f>
        <v>154</v>
      </c>
      <c r="J62" s="3" t="n">
        <f aca="false">VLOOKUP($B62,'All Employee Structures'!$A$2:$M1000,11,0)</f>
        <v>0</v>
      </c>
      <c r="K62" s="3" t="n">
        <f aca="false">VLOOKUP($B62,'All Employee Structures'!$A$2:$M1000,12,0)</f>
        <v>0</v>
      </c>
      <c r="L62" s="3" t="n">
        <f aca="false">VLOOKUP($B62,'All Employee Structures'!$A$2:$M1000,13,0)</f>
        <v>0</v>
      </c>
    </row>
    <row r="63" customFormat="false" ht="14.15" hidden="false" customHeight="false" outlineLevel="0" collapsed="false">
      <c r="A63" s="2" t="s">
        <v>152</v>
      </c>
      <c r="B63" s="2" t="s">
        <v>153</v>
      </c>
      <c r="C63" s="2" t="s">
        <v>145</v>
      </c>
      <c r="D63" s="2" t="s">
        <v>15</v>
      </c>
      <c r="E63" s="2" t="n">
        <v>1</v>
      </c>
      <c r="F63" s="2" t="str">
        <f aca="false">IF(OR(ISBLANK($K63),$K63=0,ISNA($K63)),"","YES")</f>
        <v/>
      </c>
      <c r="G63" s="3" t="n">
        <f aca="false">VLOOKUP($B63,'All Employee Structures'!$A$2:$M1000,9,0)</f>
        <v>71280</v>
      </c>
      <c r="H63" s="3" t="n">
        <f aca="false">I63*2</f>
        <v>0</v>
      </c>
      <c r="I63" s="3" t="n">
        <f aca="false">VLOOKUP($B63,'All Employee Structures'!$A$2:$M1000,10,0)</f>
        <v>0</v>
      </c>
      <c r="J63" s="3" t="n">
        <f aca="false">VLOOKUP($B63,'All Employee Structures'!$A$2:$M1000,11,0)</f>
        <v>0</v>
      </c>
      <c r="K63" s="3" t="n">
        <f aca="false">VLOOKUP($B63,'All Employee Structures'!$A$2:$M1000,12,0)</f>
        <v>0</v>
      </c>
      <c r="L63" s="3" t="n">
        <f aca="false">VLOOKUP($B63,'All Employee Structures'!$A$2:$M1000,13,0)</f>
        <v>0</v>
      </c>
    </row>
    <row r="64" customFormat="false" ht="14.15" hidden="false" customHeight="false" outlineLevel="0" collapsed="false">
      <c r="A64" s="2" t="s">
        <v>154</v>
      </c>
      <c r="B64" s="2" t="s">
        <v>155</v>
      </c>
      <c r="C64" s="2" t="s">
        <v>156</v>
      </c>
      <c r="D64" s="2" t="s">
        <v>15</v>
      </c>
      <c r="E64" s="2" t="n">
        <v>1</v>
      </c>
      <c r="F64" s="2" t="str">
        <f aca="false">IF(OR(ISBLANK($K64),$K64=0,ISNA($K64)),"","YES")</f>
        <v/>
      </c>
      <c r="G64" s="3" t="n">
        <f aca="false">VLOOKUP($B64,'All Employee Structures'!$A$2:$M1000,9,0)</f>
        <v>162000</v>
      </c>
      <c r="H64" s="3" t="n">
        <f aca="false">I64*2</f>
        <v>1052</v>
      </c>
      <c r="I64" s="3" t="n">
        <f aca="false">VLOOKUP($B64,'All Employee Structures'!$A$2:$M1000,10,0)</f>
        <v>526</v>
      </c>
      <c r="J64" s="3" t="n">
        <f aca="false">VLOOKUP($B64,'All Employee Structures'!$A$2:$M1000,11,0)</f>
        <v>0</v>
      </c>
      <c r="K64" s="3" t="n">
        <f aca="false">VLOOKUP($B64,'All Employee Structures'!$A$2:$M1000,12,0)</f>
        <v>0</v>
      </c>
      <c r="L64" s="3" t="n">
        <f aca="false">VLOOKUP($B64,'All Employee Structures'!$A$2:$M1000,13,0)</f>
        <v>0</v>
      </c>
    </row>
    <row r="65" customFormat="false" ht="14.15" hidden="false" customHeight="false" outlineLevel="0" collapsed="false">
      <c r="A65" s="2" t="s">
        <v>157</v>
      </c>
      <c r="B65" s="2" t="s">
        <v>158</v>
      </c>
      <c r="C65" s="2" t="s">
        <v>21</v>
      </c>
      <c r="D65" s="2" t="s">
        <v>15</v>
      </c>
      <c r="E65" s="2" t="n">
        <v>1</v>
      </c>
      <c r="F65" s="2" t="str">
        <f aca="false">IF(OR(ISBLANK($K65),$K65=0,ISNA($K65)),"","YES")</f>
        <v/>
      </c>
      <c r="G65" s="3" t="n">
        <f aca="false">VLOOKUP($B65,'All Employee Structures'!$A$2:$M1000,9,0)</f>
        <v>114000</v>
      </c>
      <c r="H65" s="3" t="n">
        <f aca="false">I65*2</f>
        <v>366</v>
      </c>
      <c r="I65" s="3" t="n">
        <f aca="false">VLOOKUP($B65,'All Employee Structures'!$A$2:$M1000,10,0)</f>
        <v>183</v>
      </c>
      <c r="J65" s="3" t="n">
        <f aca="false">VLOOKUP($B65,'All Employee Structures'!$A$2:$M1000,11,0)</f>
        <v>0</v>
      </c>
      <c r="K65" s="3" t="n">
        <f aca="false">VLOOKUP($B65,'All Employee Structures'!$A$2:$M1000,12,0)</f>
        <v>0</v>
      </c>
      <c r="L65" s="3" t="n">
        <f aca="false">VLOOKUP($B65,'All Employee Structures'!$A$2:$M1000,13,0)</f>
        <v>0</v>
      </c>
    </row>
    <row r="66" customFormat="false" ht="14.15" hidden="false" customHeight="false" outlineLevel="0" collapsed="false">
      <c r="A66" s="2" t="s">
        <v>159</v>
      </c>
      <c r="B66" s="2" t="s">
        <v>160</v>
      </c>
      <c r="C66" s="2" t="s">
        <v>21</v>
      </c>
      <c r="D66" s="2" t="s">
        <v>15</v>
      </c>
      <c r="E66" s="2" t="n">
        <v>1</v>
      </c>
      <c r="F66" s="2" t="str">
        <f aca="false">IF(OR(ISBLANK($K66),$K66=0,ISNA($K66)),"","YES")</f>
        <v/>
      </c>
      <c r="G66" s="3" t="n">
        <f aca="false">VLOOKUP($B66,'All Employee Structures'!$A$2:$M1000,9,0)</f>
        <v>228000</v>
      </c>
      <c r="H66" s="3" t="n">
        <f aca="false">I66*2</f>
        <v>0</v>
      </c>
      <c r="I66" s="3" t="n">
        <f aca="false">VLOOKUP($B66,'All Employee Structures'!$A$2:$M1000,10,0)</f>
        <v>0</v>
      </c>
      <c r="J66" s="3" t="n">
        <f aca="false">VLOOKUP($B66,'All Employee Structures'!$A$2:$M1000,11,0)</f>
        <v>0</v>
      </c>
      <c r="K66" s="3" t="n">
        <f aca="false">VLOOKUP($B66,'All Employee Structures'!$A$2:$M1000,12,0)</f>
        <v>0</v>
      </c>
      <c r="L66" s="3" t="n">
        <f aca="false">VLOOKUP($B66,'All Employee Structures'!$A$2:$M1000,13,0)</f>
        <v>0</v>
      </c>
    </row>
    <row r="67" customFormat="false" ht="14.15" hidden="false" customHeight="false" outlineLevel="0" collapsed="false">
      <c r="A67" s="2" t="s">
        <v>161</v>
      </c>
      <c r="B67" s="2" t="s">
        <v>162</v>
      </c>
      <c r="C67" s="2" t="s">
        <v>35</v>
      </c>
      <c r="D67" s="2" t="s">
        <v>15</v>
      </c>
      <c r="E67" s="2" t="n">
        <v>1</v>
      </c>
      <c r="F67" s="2" t="str">
        <f aca="false">IF(OR(ISBLANK($K67),$K67=0,ISNA($K67)),"","YES")</f>
        <v/>
      </c>
      <c r="G67" s="3" t="n">
        <f aca="false">VLOOKUP($B67,'All Employee Structures'!$A$2:$M1000,9,0)</f>
        <v>84000</v>
      </c>
      <c r="H67" s="3" t="n">
        <f aca="false">I67*2</f>
        <v>442</v>
      </c>
      <c r="I67" s="3" t="n">
        <f aca="false">VLOOKUP($B67,'All Employee Structures'!$A$2:$M1000,10,0)</f>
        <v>221</v>
      </c>
      <c r="J67" s="3" t="n">
        <f aca="false">VLOOKUP($B67,'All Employee Structures'!$A$2:$M1000,11,0)</f>
        <v>0</v>
      </c>
      <c r="K67" s="3" t="n">
        <f aca="false">VLOOKUP($B67,'All Employee Structures'!$A$2:$M1000,12,0)</f>
        <v>0</v>
      </c>
      <c r="L67" s="3" t="n">
        <f aca="false">VLOOKUP($B67,'All Employee Structures'!$A$2:$M1000,13,0)</f>
        <v>0</v>
      </c>
    </row>
    <row r="68" customFormat="false" ht="14.15" hidden="false" customHeight="false" outlineLevel="0" collapsed="false">
      <c r="A68" s="2" t="s">
        <v>163</v>
      </c>
      <c r="B68" s="2" t="s">
        <v>164</v>
      </c>
      <c r="C68" s="2" t="s">
        <v>165</v>
      </c>
      <c r="D68" s="2" t="s">
        <v>15</v>
      </c>
      <c r="E68" s="2" t="n">
        <v>1</v>
      </c>
      <c r="F68" s="2" t="str">
        <f aca="false">IF(OR(ISBLANK($K68),$K68=0,ISNA($K68)),"","YES")</f>
        <v/>
      </c>
      <c r="G68" s="3" t="n">
        <f aca="false">VLOOKUP($B68,'All Employee Structures'!$A$2:$M1000,9,0)</f>
        <v>84252</v>
      </c>
      <c r="H68" s="3" t="n">
        <f aca="false">I68*2</f>
        <v>468</v>
      </c>
      <c r="I68" s="3" t="n">
        <f aca="false">VLOOKUP($B68,'All Employee Structures'!$A$2:$M1000,10,0)</f>
        <v>234</v>
      </c>
      <c r="J68" s="3" t="n">
        <f aca="false">VLOOKUP($B68,'All Employee Structures'!$A$2:$M1000,11,0)</f>
        <v>2000</v>
      </c>
      <c r="K68" s="3" t="n">
        <f aca="false">VLOOKUP($B68,'All Employee Structures'!$A$2:$M1000,12,0)</f>
        <v>0</v>
      </c>
      <c r="L68" s="3" t="n">
        <f aca="false">VLOOKUP($B68,'All Employee Structures'!$A$2:$M1000,13,0)</f>
        <v>0</v>
      </c>
    </row>
    <row r="69" customFormat="false" ht="14.15" hidden="false" customHeight="false" outlineLevel="0" collapsed="false">
      <c r="A69" s="2" t="s">
        <v>166</v>
      </c>
      <c r="B69" s="2" t="s">
        <v>167</v>
      </c>
      <c r="C69" s="2" t="s">
        <v>142</v>
      </c>
      <c r="D69" s="2" t="s">
        <v>15</v>
      </c>
      <c r="E69" s="2" t="n">
        <v>1</v>
      </c>
      <c r="F69" s="2" t="str">
        <f aca="false">IF(OR(ISBLANK($K69),$K69=0,ISNA($K69)),"","YES")</f>
        <v/>
      </c>
      <c r="G69" s="3" t="n">
        <f aca="false">VLOOKUP($B69,'All Employee Structures'!$A$2:$M1000,9,0)</f>
        <v>123420</v>
      </c>
      <c r="H69" s="3" t="n">
        <f aca="false">I69*2</f>
        <v>792</v>
      </c>
      <c r="I69" s="3" t="n">
        <f aca="false">VLOOKUP($B69,'All Employee Structures'!$A$2:$M1000,10,0)</f>
        <v>396</v>
      </c>
      <c r="J69" s="3" t="n">
        <f aca="false">VLOOKUP($B69,'All Employee Structures'!$A$2:$M1000,11,0)</f>
        <v>0</v>
      </c>
      <c r="K69" s="3" t="n">
        <f aca="false">VLOOKUP($B69,'All Employee Structures'!$A$2:$M1000,12,0)</f>
        <v>0</v>
      </c>
      <c r="L69" s="3" t="n">
        <f aca="false">VLOOKUP($B69,'All Employee Structures'!$A$2:$M1000,13,0)</f>
        <v>0</v>
      </c>
    </row>
    <row r="70" customFormat="false" ht="14.15" hidden="false" customHeight="false" outlineLevel="0" collapsed="false">
      <c r="A70" s="2" t="s">
        <v>168</v>
      </c>
      <c r="B70" s="2" t="s">
        <v>169</v>
      </c>
      <c r="C70" s="2" t="s">
        <v>101</v>
      </c>
      <c r="D70" s="2" t="s">
        <v>15</v>
      </c>
      <c r="E70" s="2" t="n">
        <v>1</v>
      </c>
      <c r="F70" s="2" t="str">
        <f aca="false">IF(OR(ISBLANK($K70),$K70=0,ISNA($K70)),"","YES")</f>
        <v/>
      </c>
      <c r="G70" s="3" t="n">
        <f aca="false">VLOOKUP($B70,'All Employee Structures'!$A$2:$M1000,9,0)</f>
        <v>106800</v>
      </c>
      <c r="H70" s="3" t="n">
        <f aca="false">I70*2</f>
        <v>308</v>
      </c>
      <c r="I70" s="3" t="n">
        <f aca="false">VLOOKUP($B70,'All Employee Structures'!$A$2:$M1000,10,0)</f>
        <v>154</v>
      </c>
      <c r="J70" s="3" t="n">
        <f aca="false">VLOOKUP($B70,'All Employee Structures'!$A$2:$M1000,11,0)</f>
        <v>0</v>
      </c>
      <c r="K70" s="3" t="n">
        <f aca="false">VLOOKUP($B70,'All Employee Structures'!$A$2:$M1000,12,0)</f>
        <v>0</v>
      </c>
      <c r="L70" s="3" t="n">
        <f aca="false">VLOOKUP($B70,'All Employee Structures'!$A$2:$M1000,13,0)</f>
        <v>0</v>
      </c>
    </row>
    <row r="71" customFormat="false" ht="14.15" hidden="false" customHeight="false" outlineLevel="0" collapsed="false">
      <c r="A71" s="2" t="s">
        <v>170</v>
      </c>
      <c r="B71" s="2" t="s">
        <v>171</v>
      </c>
      <c r="C71" s="2" t="s">
        <v>18</v>
      </c>
      <c r="D71" s="2" t="s">
        <v>15</v>
      </c>
      <c r="E71" s="2" t="n">
        <v>1</v>
      </c>
      <c r="F71" s="2" t="str">
        <f aca="false">IF(OR(ISBLANK($K71),$K71=0,ISNA($K71)),"","YES")</f>
        <v/>
      </c>
      <c r="G71" s="3" t="n">
        <f aca="false">VLOOKUP($B71,'All Employee Structures'!$A$2:$M1000,9,0)</f>
        <v>105600</v>
      </c>
      <c r="H71" s="3" t="n">
        <f aca="false">I71*2</f>
        <v>354</v>
      </c>
      <c r="I71" s="3" t="n">
        <f aca="false">VLOOKUP($B71,'All Employee Structures'!$A$2:$M1000,10,0)</f>
        <v>177</v>
      </c>
      <c r="J71" s="3" t="n">
        <f aca="false">VLOOKUP($B71,'All Employee Structures'!$A$2:$M1000,11,0)</f>
        <v>0</v>
      </c>
      <c r="K71" s="3" t="n">
        <f aca="false">VLOOKUP($B71,'All Employee Structures'!$A$2:$M1000,12,0)</f>
        <v>0</v>
      </c>
      <c r="L71" s="3" t="n">
        <f aca="false">VLOOKUP($B71,'All Employee Structures'!$A$2:$M1000,13,0)</f>
        <v>0</v>
      </c>
    </row>
    <row r="72" customFormat="false" ht="14.15" hidden="false" customHeight="false" outlineLevel="0" collapsed="false">
      <c r="A72" s="2" t="s">
        <v>172</v>
      </c>
      <c r="B72" s="2" t="s">
        <v>173</v>
      </c>
      <c r="C72" s="2" t="s">
        <v>35</v>
      </c>
      <c r="D72" s="2" t="s">
        <v>15</v>
      </c>
      <c r="E72" s="2" t="n">
        <v>1</v>
      </c>
      <c r="F72" s="2" t="str">
        <f aca="false">IF(OR(ISBLANK($K72),$K72=0,ISNA($K72)),"","YES")</f>
        <v/>
      </c>
      <c r="G72" s="3" t="n">
        <f aca="false">VLOOKUP($B72,'All Employee Structures'!$A$2:$M1000,9,0)</f>
        <v>94080</v>
      </c>
      <c r="H72" s="3" t="n">
        <f aca="false">I72*2</f>
        <v>442</v>
      </c>
      <c r="I72" s="3" t="n">
        <f aca="false">VLOOKUP($B72,'All Employee Structures'!$A$2:$M1000,10,0)</f>
        <v>221</v>
      </c>
      <c r="J72" s="3" t="n">
        <f aca="false">VLOOKUP($B72,'All Employee Structures'!$A$2:$M1000,11,0)</f>
        <v>0</v>
      </c>
      <c r="K72" s="3" t="n">
        <f aca="false">VLOOKUP($B72,'All Employee Structures'!$A$2:$M1000,12,0)</f>
        <v>0</v>
      </c>
      <c r="L72" s="3" t="n">
        <f aca="false">VLOOKUP($B72,'All Employee Structures'!$A$2:$M1000,13,0)</f>
        <v>0</v>
      </c>
    </row>
    <row r="73" customFormat="false" ht="14.15" hidden="false" customHeight="false" outlineLevel="0" collapsed="false">
      <c r="A73" s="2" t="s">
        <v>174</v>
      </c>
      <c r="B73" s="2" t="s">
        <v>175</v>
      </c>
      <c r="C73" s="2" t="s">
        <v>35</v>
      </c>
      <c r="D73" s="2" t="s">
        <v>15</v>
      </c>
      <c r="E73" s="2" t="n">
        <v>1</v>
      </c>
      <c r="F73" s="2" t="str">
        <f aca="false">IF(OR(ISBLANK($K73),$K73=0,ISNA($K73)),"","YES")</f>
        <v/>
      </c>
      <c r="G73" s="3" t="n">
        <f aca="false">VLOOKUP($B73,'All Employee Structures'!$A$2:$M1000,9,0)</f>
        <v>122976</v>
      </c>
      <c r="H73" s="3" t="n">
        <f aca="false">I73*2</f>
        <v>530</v>
      </c>
      <c r="I73" s="3" t="n">
        <f aca="false">VLOOKUP($B73,'All Employee Structures'!$A$2:$M1000,10,0)</f>
        <v>265</v>
      </c>
      <c r="J73" s="3" t="n">
        <f aca="false">VLOOKUP($B73,'All Employee Structures'!$A$2:$M1000,11,0)</f>
        <v>0</v>
      </c>
      <c r="K73" s="3" t="n">
        <f aca="false">VLOOKUP($B73,'All Employee Structures'!$A$2:$M1000,12,0)</f>
        <v>0</v>
      </c>
      <c r="L73" s="3" t="n">
        <f aca="false">VLOOKUP($B73,'All Employee Structures'!$A$2:$M1000,13,0)</f>
        <v>0</v>
      </c>
    </row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L73"/>
  <conditionalFormatting sqref="A2:L73">
    <cfRule type="expression" priority="2" aboveAverage="0" equalAverage="0" bottom="0" percent="0" rank="0" text="" dxfId="0">
      <formula>ISNA(#REF!)</formula>
    </cfRule>
  </conditionalFormatting>
  <conditionalFormatting sqref="A2:L73">
    <cfRule type="expression" priority="3" aboveAverage="0" equalAverage="0" bottom="0" percent="0" rank="0" text="" dxfId="1">
      <formula>#REF!="YES"</formula>
    </cfRule>
  </conditionalFormatting>
  <dataValidations count="1">
    <dataValidation allowBlank="true" operator="between" showDropDown="false" showErrorMessage="false" showInputMessage="false" sqref="E2:E73" type="list">
      <formula1>'Salary Structure'!$B$2:$B$889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17.71"/>
    <col collapsed="false" customWidth="true" hidden="false" outlineLevel="0" max="3" min="3" style="0" width="27.13"/>
    <col collapsed="false" customWidth="true" hidden="false" outlineLevel="0" max="4" min="4" style="0" width="31.29"/>
    <col collapsed="false" customWidth="true" hidden="false" outlineLevel="0" max="5" min="5" style="0" width="15.87"/>
    <col collapsed="false" customWidth="true" hidden="false" outlineLevel="0" max="6" min="6" style="0" width="15.14"/>
    <col collapsed="false" customWidth="true" hidden="false" outlineLevel="0" max="7" min="7" style="0" width="17.58"/>
    <col collapsed="false" customWidth="true" hidden="false" outlineLevel="0" max="8" min="8" style="0" width="13.57"/>
    <col collapsed="false" customWidth="true" hidden="false" outlineLevel="0" max="9" min="9" style="0" width="17.13"/>
    <col collapsed="false" customWidth="true" hidden="false" outlineLevel="0" max="29" min="10" style="0" width="13.01"/>
    <col collapsed="false" customWidth="true" hidden="false" outlineLevel="0" max="1025" min="30" style="0" width="14.43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11</v>
      </c>
    </row>
    <row r="2" customFormat="false" ht="15.75" hidden="false" customHeight="false" outlineLevel="0" collapsed="false">
      <c r="A2" s="5" t="s">
        <v>176</v>
      </c>
      <c r="B2" s="5" t="s">
        <v>177</v>
      </c>
      <c r="C2" s="6" t="n">
        <v>0</v>
      </c>
      <c r="D2" s="5" t="s">
        <v>15</v>
      </c>
      <c r="E2" s="2"/>
    </row>
    <row r="3" customFormat="false" ht="15.75" hidden="false" customHeight="false" outlineLevel="0" collapsed="false">
      <c r="A3" s="5" t="s">
        <v>178</v>
      </c>
      <c r="B3" s="5" t="s">
        <v>179</v>
      </c>
      <c r="C3" s="5" t="s">
        <v>180</v>
      </c>
      <c r="D3" s="5" t="s">
        <v>15</v>
      </c>
      <c r="E3" s="2"/>
    </row>
    <row r="4" customFormat="false" ht="15.75" hidden="false" customHeight="false" outlineLevel="0" collapsed="false">
      <c r="A4" s="5" t="s">
        <v>181</v>
      </c>
      <c r="B4" s="5" t="s">
        <v>182</v>
      </c>
      <c r="C4" s="5" t="s">
        <v>183</v>
      </c>
      <c r="D4" s="5" t="s">
        <v>184</v>
      </c>
      <c r="E4" s="2"/>
    </row>
    <row r="5" customFormat="false" ht="15.75" hidden="false" customHeight="false" outlineLevel="0" collapsed="false">
      <c r="A5" s="5" t="s">
        <v>185</v>
      </c>
      <c r="B5" s="5" t="s">
        <v>186</v>
      </c>
      <c r="C5" s="5" t="s">
        <v>187</v>
      </c>
      <c r="D5" s="5" t="s">
        <v>188</v>
      </c>
      <c r="E5" s="2"/>
    </row>
    <row r="6" customFormat="false" ht="15.75" hidden="false" customHeight="false" outlineLevel="0" collapsed="false">
      <c r="A6" s="5" t="s">
        <v>189</v>
      </c>
      <c r="B6" s="5" t="s">
        <v>190</v>
      </c>
      <c r="C6" s="5" t="s">
        <v>191</v>
      </c>
      <c r="D6" s="5" t="s">
        <v>15</v>
      </c>
      <c r="E6" s="2"/>
    </row>
    <row r="7" customFormat="false" ht="15.75" hidden="false" customHeight="false" outlineLevel="0" collapsed="false">
      <c r="A7" s="5" t="s">
        <v>192</v>
      </c>
      <c r="B7" s="5" t="s">
        <v>193</v>
      </c>
      <c r="C7" s="5" t="s">
        <v>187</v>
      </c>
      <c r="D7" s="5" t="s">
        <v>184</v>
      </c>
      <c r="E7" s="2"/>
    </row>
    <row r="8" customFormat="false" ht="15.75" hidden="false" customHeight="false" outlineLevel="0" collapsed="false">
      <c r="A8" s="5" t="s">
        <v>194</v>
      </c>
      <c r="B8" s="5" t="s">
        <v>195</v>
      </c>
      <c r="C8" s="5" t="s">
        <v>187</v>
      </c>
      <c r="D8" s="5" t="s">
        <v>196</v>
      </c>
      <c r="E8" s="2"/>
    </row>
    <row r="9" customFormat="false" ht="15.75" hidden="false" customHeight="false" outlineLevel="0" collapsed="false">
      <c r="A9" s="5" t="s">
        <v>197</v>
      </c>
      <c r="B9" s="5" t="s">
        <v>198</v>
      </c>
      <c r="C9" s="5" t="s">
        <v>187</v>
      </c>
      <c r="D9" s="5" t="s">
        <v>199</v>
      </c>
      <c r="E9" s="2"/>
    </row>
    <row r="10" customFormat="false" ht="15.75" hidden="false" customHeight="false" outlineLevel="0" collapsed="false">
      <c r="A10" s="5" t="s">
        <v>200</v>
      </c>
      <c r="B10" s="5" t="s">
        <v>201</v>
      </c>
      <c r="C10" s="5" t="s">
        <v>187</v>
      </c>
      <c r="D10" s="5" t="s">
        <v>202</v>
      </c>
      <c r="E10" s="2"/>
    </row>
    <row r="11" customFormat="false" ht="15.75" hidden="false" customHeight="false" outlineLevel="0" collapsed="false">
      <c r="A11" s="5" t="s">
        <v>203</v>
      </c>
      <c r="B11" s="5" t="s">
        <v>204</v>
      </c>
      <c r="C11" s="5" t="s">
        <v>180</v>
      </c>
      <c r="D11" s="5" t="s">
        <v>196</v>
      </c>
      <c r="E11" s="2"/>
    </row>
    <row r="12" customFormat="false" ht="15.75" hidden="false" customHeight="false" outlineLevel="0" collapsed="false">
      <c r="A12" s="5" t="s">
        <v>205</v>
      </c>
      <c r="B12" s="5" t="s">
        <v>206</v>
      </c>
      <c r="C12" s="5" t="s">
        <v>207</v>
      </c>
      <c r="D12" s="5" t="s">
        <v>208</v>
      </c>
      <c r="E12" s="2"/>
    </row>
    <row r="13" customFormat="false" ht="15.75" hidden="false" customHeight="false" outlineLevel="0" collapsed="false">
      <c r="A13" s="5" t="s">
        <v>209</v>
      </c>
      <c r="B13" s="5" t="s">
        <v>210</v>
      </c>
      <c r="C13" s="5" t="s">
        <v>187</v>
      </c>
      <c r="D13" s="5" t="s">
        <v>202</v>
      </c>
      <c r="E13" s="2"/>
    </row>
    <row r="14" customFormat="false" ht="15.75" hidden="false" customHeight="false" outlineLevel="0" collapsed="false">
      <c r="A14" s="5" t="s">
        <v>211</v>
      </c>
      <c r="B14" s="5" t="s">
        <v>212</v>
      </c>
      <c r="C14" s="5" t="s">
        <v>187</v>
      </c>
      <c r="D14" s="5" t="s">
        <v>202</v>
      </c>
      <c r="E14" s="2"/>
    </row>
    <row r="15" customFormat="false" ht="15.75" hidden="false" customHeight="false" outlineLevel="0" collapsed="false">
      <c r="A15" s="5" t="s">
        <v>213</v>
      </c>
      <c r="B15" s="5" t="s">
        <v>214</v>
      </c>
      <c r="C15" s="5" t="s">
        <v>215</v>
      </c>
      <c r="D15" s="5" t="s">
        <v>184</v>
      </c>
      <c r="E15" s="2"/>
    </row>
    <row r="16" customFormat="false" ht="15.75" hidden="false" customHeight="false" outlineLevel="0" collapsed="false">
      <c r="A16" s="5" t="s">
        <v>216</v>
      </c>
      <c r="B16" s="5" t="s">
        <v>217</v>
      </c>
      <c r="C16" s="5" t="s">
        <v>187</v>
      </c>
      <c r="D16" s="5" t="s">
        <v>202</v>
      </c>
      <c r="E16" s="2"/>
    </row>
    <row r="17" customFormat="false" ht="15.75" hidden="false" customHeight="false" outlineLevel="0" collapsed="false">
      <c r="A17" s="5" t="s">
        <v>12</v>
      </c>
      <c r="B17" s="5" t="s">
        <v>13</v>
      </c>
      <c r="C17" s="5" t="s">
        <v>14</v>
      </c>
      <c r="D17" s="5" t="s">
        <v>15</v>
      </c>
      <c r="E17" s="2"/>
    </row>
    <row r="18" customFormat="false" ht="15.75" hidden="false" customHeight="false" outlineLevel="0" collapsed="false">
      <c r="A18" s="5" t="s">
        <v>218</v>
      </c>
      <c r="B18" s="5" t="s">
        <v>219</v>
      </c>
      <c r="C18" s="5" t="s">
        <v>187</v>
      </c>
      <c r="D18" s="5" t="s">
        <v>202</v>
      </c>
      <c r="E18" s="2"/>
    </row>
    <row r="19" customFormat="false" ht="15.75" hidden="false" customHeight="false" outlineLevel="0" collapsed="false">
      <c r="A19" s="5" t="s">
        <v>220</v>
      </c>
      <c r="B19" s="5" t="s">
        <v>221</v>
      </c>
      <c r="C19" s="5" t="s">
        <v>187</v>
      </c>
      <c r="D19" s="5" t="s">
        <v>202</v>
      </c>
      <c r="E19" s="2"/>
    </row>
    <row r="20" customFormat="false" ht="15.75" hidden="false" customHeight="false" outlineLevel="0" collapsed="false">
      <c r="A20" s="5" t="s">
        <v>222</v>
      </c>
      <c r="B20" s="5" t="s">
        <v>223</v>
      </c>
      <c r="C20" s="5" t="s">
        <v>191</v>
      </c>
      <c r="D20" s="5" t="s">
        <v>208</v>
      </c>
      <c r="E20" s="2"/>
    </row>
    <row r="21" customFormat="false" ht="15.75" hidden="false" customHeight="false" outlineLevel="0" collapsed="false">
      <c r="A21" s="5" t="s">
        <v>224</v>
      </c>
      <c r="B21" s="5" t="s">
        <v>225</v>
      </c>
      <c r="C21" s="5" t="s">
        <v>187</v>
      </c>
      <c r="D21" s="5" t="s">
        <v>202</v>
      </c>
      <c r="E21" s="2"/>
    </row>
    <row r="22" customFormat="false" ht="15.75" hidden="false" customHeight="false" outlineLevel="0" collapsed="false">
      <c r="A22" s="5" t="s">
        <v>226</v>
      </c>
      <c r="B22" s="5" t="s">
        <v>227</v>
      </c>
      <c r="C22" s="5" t="s">
        <v>187</v>
      </c>
      <c r="D22" s="5" t="s">
        <v>208</v>
      </c>
      <c r="E22" s="2"/>
    </row>
    <row r="23" customFormat="false" ht="15.75" hidden="false" customHeight="false" outlineLevel="0" collapsed="false">
      <c r="A23" s="5" t="s">
        <v>228</v>
      </c>
      <c r="B23" s="5" t="s">
        <v>229</v>
      </c>
      <c r="C23" s="5" t="s">
        <v>187</v>
      </c>
      <c r="D23" s="5" t="s">
        <v>208</v>
      </c>
      <c r="E23" s="2"/>
    </row>
    <row r="24" customFormat="false" ht="15.75" hidden="false" customHeight="false" outlineLevel="0" collapsed="false">
      <c r="A24" s="5" t="s">
        <v>230</v>
      </c>
      <c r="B24" s="5" t="s">
        <v>231</v>
      </c>
      <c r="C24" s="5" t="s">
        <v>187</v>
      </c>
      <c r="D24" s="5" t="s">
        <v>196</v>
      </c>
      <c r="E24" s="2"/>
    </row>
    <row r="25" customFormat="false" ht="15.75" hidden="false" customHeight="false" outlineLevel="0" collapsed="false">
      <c r="A25" s="5" t="s">
        <v>232</v>
      </c>
      <c r="B25" s="5" t="s">
        <v>233</v>
      </c>
      <c r="C25" s="5" t="s">
        <v>187</v>
      </c>
      <c r="D25" s="5" t="s">
        <v>208</v>
      </c>
      <c r="E25" s="2"/>
    </row>
    <row r="26" customFormat="false" ht="15.75" hidden="false" customHeight="false" outlineLevel="0" collapsed="false">
      <c r="A26" s="5" t="s">
        <v>234</v>
      </c>
      <c r="B26" s="5" t="s">
        <v>235</v>
      </c>
      <c r="C26" s="5" t="s">
        <v>236</v>
      </c>
      <c r="D26" s="5" t="s">
        <v>184</v>
      </c>
      <c r="E26" s="2"/>
    </row>
    <row r="27" customFormat="false" ht="15.75" hidden="false" customHeight="false" outlineLevel="0" collapsed="false">
      <c r="A27" s="5" t="s">
        <v>237</v>
      </c>
      <c r="B27" s="5" t="s">
        <v>238</v>
      </c>
      <c r="C27" s="5" t="s">
        <v>187</v>
      </c>
      <c r="D27" s="5" t="s">
        <v>202</v>
      </c>
      <c r="E27" s="2"/>
    </row>
    <row r="28" customFormat="false" ht="15.75" hidden="false" customHeight="false" outlineLevel="0" collapsed="false">
      <c r="A28" s="5" t="s">
        <v>239</v>
      </c>
      <c r="B28" s="5" t="s">
        <v>240</v>
      </c>
      <c r="C28" s="5" t="s">
        <v>187</v>
      </c>
      <c r="D28" s="5" t="s">
        <v>208</v>
      </c>
      <c r="E28" s="2"/>
    </row>
    <row r="29" customFormat="false" ht="15.75" hidden="false" customHeight="false" outlineLevel="0" collapsed="false">
      <c r="A29" s="5" t="s">
        <v>241</v>
      </c>
      <c r="B29" s="5" t="s">
        <v>242</v>
      </c>
      <c r="C29" s="5" t="s">
        <v>180</v>
      </c>
      <c r="D29" s="5" t="s">
        <v>15</v>
      </c>
      <c r="E29" s="2"/>
    </row>
    <row r="30" customFormat="false" ht="15.75" hidden="false" customHeight="false" outlineLevel="0" collapsed="false">
      <c r="A30" s="5" t="s">
        <v>243</v>
      </c>
      <c r="B30" s="5" t="s">
        <v>244</v>
      </c>
      <c r="C30" s="5" t="s">
        <v>187</v>
      </c>
      <c r="D30" s="5" t="s">
        <v>202</v>
      </c>
      <c r="E30" s="2"/>
    </row>
    <row r="31" customFormat="false" ht="15.75" hidden="false" customHeight="false" outlineLevel="0" collapsed="false">
      <c r="A31" s="5" t="s">
        <v>245</v>
      </c>
      <c r="B31" s="5" t="s">
        <v>246</v>
      </c>
      <c r="C31" s="5" t="s">
        <v>187</v>
      </c>
      <c r="D31" s="5" t="s">
        <v>202</v>
      </c>
      <c r="E31" s="2"/>
    </row>
    <row r="32" customFormat="false" ht="15.75" hidden="false" customHeight="false" outlineLevel="0" collapsed="false">
      <c r="A32" s="5" t="s">
        <v>247</v>
      </c>
      <c r="B32" s="5" t="s">
        <v>248</v>
      </c>
      <c r="C32" s="5" t="s">
        <v>187</v>
      </c>
      <c r="D32" s="5" t="s">
        <v>202</v>
      </c>
      <c r="E32" s="2"/>
    </row>
    <row r="33" customFormat="false" ht="15.75" hidden="false" customHeight="false" outlineLevel="0" collapsed="false">
      <c r="A33" s="5" t="s">
        <v>249</v>
      </c>
      <c r="B33" s="5" t="s">
        <v>250</v>
      </c>
      <c r="C33" s="6" t="n">
        <v>0</v>
      </c>
      <c r="D33" s="5" t="s">
        <v>15</v>
      </c>
      <c r="E33" s="2"/>
    </row>
    <row r="34" customFormat="false" ht="15.75" hidden="false" customHeight="false" outlineLevel="0" collapsed="false">
      <c r="A34" s="5" t="s">
        <v>251</v>
      </c>
      <c r="B34" s="5" t="s">
        <v>252</v>
      </c>
      <c r="C34" s="5" t="s">
        <v>180</v>
      </c>
      <c r="D34" s="5" t="s">
        <v>15</v>
      </c>
      <c r="E34" s="2"/>
    </row>
    <row r="35" customFormat="false" ht="15.75" hidden="false" customHeight="false" outlineLevel="0" collapsed="false">
      <c r="A35" s="5" t="s">
        <v>253</v>
      </c>
      <c r="B35" s="5" t="s">
        <v>254</v>
      </c>
      <c r="C35" s="5" t="s">
        <v>180</v>
      </c>
      <c r="D35" s="5" t="s">
        <v>15</v>
      </c>
      <c r="E35" s="2"/>
    </row>
    <row r="36" customFormat="false" ht="15.75" hidden="false" customHeight="false" outlineLevel="0" collapsed="false">
      <c r="A36" s="5" t="s">
        <v>16</v>
      </c>
      <c r="B36" s="5" t="s">
        <v>17</v>
      </c>
      <c r="C36" s="5" t="s">
        <v>18</v>
      </c>
      <c r="D36" s="5" t="s">
        <v>15</v>
      </c>
      <c r="E36" s="2"/>
    </row>
    <row r="37" customFormat="false" ht="15.75" hidden="false" customHeight="false" outlineLevel="0" collapsed="false">
      <c r="A37" s="5" t="s">
        <v>255</v>
      </c>
      <c r="B37" s="5" t="s">
        <v>256</v>
      </c>
      <c r="C37" s="5" t="s">
        <v>187</v>
      </c>
      <c r="D37" s="5" t="s">
        <v>257</v>
      </c>
      <c r="E37" s="2"/>
    </row>
    <row r="38" customFormat="false" ht="15.75" hidden="false" customHeight="false" outlineLevel="0" collapsed="false">
      <c r="A38" s="5" t="s">
        <v>258</v>
      </c>
      <c r="B38" s="5" t="s">
        <v>259</v>
      </c>
      <c r="C38" s="5" t="s">
        <v>35</v>
      </c>
      <c r="D38" s="5" t="s">
        <v>15</v>
      </c>
      <c r="E38" s="2"/>
    </row>
    <row r="39" customFormat="false" ht="15.75" hidden="false" customHeight="false" outlineLevel="0" collapsed="false">
      <c r="A39" s="5" t="s">
        <v>260</v>
      </c>
      <c r="B39" s="5" t="s">
        <v>261</v>
      </c>
      <c r="C39" s="5" t="s">
        <v>187</v>
      </c>
      <c r="D39" s="5" t="s">
        <v>208</v>
      </c>
      <c r="E39" s="2"/>
    </row>
    <row r="40" customFormat="false" ht="15.75" hidden="false" customHeight="false" outlineLevel="0" collapsed="false">
      <c r="A40" s="5" t="s">
        <v>262</v>
      </c>
      <c r="B40" s="5" t="s">
        <v>263</v>
      </c>
      <c r="C40" s="5" t="s">
        <v>180</v>
      </c>
      <c r="D40" s="5" t="s">
        <v>199</v>
      </c>
      <c r="E40" s="2"/>
    </row>
    <row r="41" customFormat="false" ht="15.75" hidden="false" customHeight="false" outlineLevel="0" collapsed="false">
      <c r="A41" s="5" t="s">
        <v>264</v>
      </c>
      <c r="B41" s="5" t="s">
        <v>265</v>
      </c>
      <c r="C41" s="5" t="s">
        <v>266</v>
      </c>
      <c r="D41" s="5" t="s">
        <v>196</v>
      </c>
      <c r="E41" s="2"/>
    </row>
    <row r="42" customFormat="false" ht="15.75" hidden="false" customHeight="false" outlineLevel="0" collapsed="false">
      <c r="A42" s="5" t="s">
        <v>267</v>
      </c>
      <c r="B42" s="5" t="s">
        <v>268</v>
      </c>
      <c r="C42" s="5" t="s">
        <v>187</v>
      </c>
      <c r="D42" s="5" t="s">
        <v>202</v>
      </c>
      <c r="E42" s="2"/>
    </row>
    <row r="43" customFormat="false" ht="15.75" hidden="false" customHeight="false" outlineLevel="0" collapsed="false">
      <c r="A43" s="5" t="s">
        <v>269</v>
      </c>
      <c r="B43" s="5" t="s">
        <v>270</v>
      </c>
      <c r="C43" s="5" t="s">
        <v>187</v>
      </c>
      <c r="D43" s="5" t="s">
        <v>202</v>
      </c>
      <c r="E43" s="2"/>
    </row>
    <row r="44" customFormat="false" ht="15.75" hidden="false" customHeight="false" outlineLevel="0" collapsed="false">
      <c r="A44" s="5" t="s">
        <v>271</v>
      </c>
      <c r="B44" s="5" t="s">
        <v>272</v>
      </c>
      <c r="C44" s="5" t="s">
        <v>187</v>
      </c>
      <c r="D44" s="5" t="s">
        <v>202</v>
      </c>
      <c r="E44" s="2"/>
    </row>
    <row r="45" customFormat="false" ht="15.75" hidden="false" customHeight="false" outlineLevel="0" collapsed="false">
      <c r="A45" s="5" t="s">
        <v>19</v>
      </c>
      <c r="B45" s="5" t="s">
        <v>20</v>
      </c>
      <c r="C45" s="5" t="s">
        <v>21</v>
      </c>
      <c r="D45" s="5" t="s">
        <v>15</v>
      </c>
      <c r="E45" s="2"/>
    </row>
    <row r="46" customFormat="false" ht="15.75" hidden="false" customHeight="false" outlineLevel="0" collapsed="false">
      <c r="A46" s="5" t="s">
        <v>273</v>
      </c>
      <c r="B46" s="5" t="s">
        <v>274</v>
      </c>
      <c r="C46" s="5" t="s">
        <v>191</v>
      </c>
      <c r="D46" s="5" t="s">
        <v>208</v>
      </c>
      <c r="E46" s="2"/>
    </row>
    <row r="47" customFormat="false" ht="15.75" hidden="false" customHeight="false" outlineLevel="0" collapsed="false">
      <c r="A47" s="5" t="s">
        <v>275</v>
      </c>
      <c r="B47" s="5" t="s">
        <v>276</v>
      </c>
      <c r="C47" s="5" t="s">
        <v>187</v>
      </c>
      <c r="D47" s="5" t="s">
        <v>208</v>
      </c>
      <c r="E47" s="2"/>
    </row>
    <row r="48" customFormat="false" ht="15.75" hidden="false" customHeight="false" outlineLevel="0" collapsed="false">
      <c r="A48" s="5" t="s">
        <v>277</v>
      </c>
      <c r="B48" s="5" t="s">
        <v>278</v>
      </c>
      <c r="C48" s="5" t="s">
        <v>187</v>
      </c>
      <c r="D48" s="5" t="s">
        <v>196</v>
      </c>
      <c r="E48" s="2"/>
    </row>
    <row r="49" customFormat="false" ht="15.75" hidden="false" customHeight="false" outlineLevel="0" collapsed="false">
      <c r="A49" s="5" t="s">
        <v>279</v>
      </c>
      <c r="B49" s="5" t="s">
        <v>280</v>
      </c>
      <c r="C49" s="5" t="s">
        <v>187</v>
      </c>
      <c r="D49" s="5" t="s">
        <v>188</v>
      </c>
      <c r="E49" s="2"/>
    </row>
    <row r="50" customFormat="false" ht="15.75" hidden="false" customHeight="false" outlineLevel="0" collapsed="false">
      <c r="A50" s="5" t="s">
        <v>281</v>
      </c>
      <c r="B50" s="5" t="s">
        <v>282</v>
      </c>
      <c r="C50" s="5" t="s">
        <v>187</v>
      </c>
      <c r="D50" s="5" t="s">
        <v>196</v>
      </c>
      <c r="E50" s="2"/>
    </row>
    <row r="51" customFormat="false" ht="15.75" hidden="false" customHeight="false" outlineLevel="0" collapsed="false">
      <c r="A51" s="5" t="s">
        <v>283</v>
      </c>
      <c r="B51" s="5" t="s">
        <v>284</v>
      </c>
      <c r="C51" s="5" t="s">
        <v>266</v>
      </c>
      <c r="D51" s="5" t="s">
        <v>196</v>
      </c>
      <c r="E51" s="2"/>
    </row>
    <row r="52" customFormat="false" ht="15.75" hidden="false" customHeight="false" outlineLevel="0" collapsed="false">
      <c r="A52" s="5" t="s">
        <v>285</v>
      </c>
      <c r="B52" s="5" t="s">
        <v>286</v>
      </c>
      <c r="C52" s="5" t="s">
        <v>287</v>
      </c>
      <c r="D52" s="5" t="s">
        <v>208</v>
      </c>
      <c r="E52" s="2"/>
    </row>
    <row r="53" customFormat="false" ht="15.75" hidden="false" customHeight="false" outlineLevel="0" collapsed="false">
      <c r="A53" s="5" t="s">
        <v>288</v>
      </c>
      <c r="B53" s="5" t="s">
        <v>289</v>
      </c>
      <c r="C53" s="5" t="s">
        <v>207</v>
      </c>
      <c r="D53" s="5" t="s">
        <v>184</v>
      </c>
      <c r="E53" s="2"/>
    </row>
    <row r="54" customFormat="false" ht="15.75" hidden="false" customHeight="false" outlineLevel="0" collapsed="false">
      <c r="A54" s="5" t="s">
        <v>290</v>
      </c>
      <c r="B54" s="5" t="s">
        <v>291</v>
      </c>
      <c r="C54" s="5" t="s">
        <v>187</v>
      </c>
      <c r="D54" s="5" t="s">
        <v>202</v>
      </c>
      <c r="E54" s="2"/>
    </row>
    <row r="55" customFormat="false" ht="15.75" hidden="false" customHeight="false" outlineLevel="0" collapsed="false">
      <c r="A55" s="5" t="s">
        <v>292</v>
      </c>
      <c r="B55" s="5" t="s">
        <v>293</v>
      </c>
      <c r="C55" s="5" t="s">
        <v>187</v>
      </c>
      <c r="D55" s="5" t="s">
        <v>202</v>
      </c>
      <c r="E55" s="2"/>
    </row>
    <row r="56" customFormat="false" ht="15.75" hidden="false" customHeight="false" outlineLevel="0" collapsed="false">
      <c r="A56" s="5" t="s">
        <v>294</v>
      </c>
      <c r="B56" s="5" t="s">
        <v>295</v>
      </c>
      <c r="C56" s="5" t="s">
        <v>187</v>
      </c>
      <c r="D56" s="5" t="s">
        <v>208</v>
      </c>
      <c r="E56" s="2"/>
    </row>
    <row r="57" customFormat="false" ht="15.75" hidden="false" customHeight="false" outlineLevel="0" collapsed="false">
      <c r="A57" s="5" t="s">
        <v>296</v>
      </c>
      <c r="B57" s="5" t="s">
        <v>297</v>
      </c>
      <c r="C57" s="5" t="s">
        <v>187</v>
      </c>
      <c r="D57" s="5" t="s">
        <v>196</v>
      </c>
      <c r="E57" s="2"/>
    </row>
    <row r="58" customFormat="false" ht="15.75" hidden="false" customHeight="false" outlineLevel="0" collapsed="false">
      <c r="A58" s="5" t="s">
        <v>298</v>
      </c>
      <c r="B58" s="5" t="s">
        <v>299</v>
      </c>
      <c r="C58" s="5" t="s">
        <v>187</v>
      </c>
      <c r="D58" s="5" t="s">
        <v>196</v>
      </c>
      <c r="E58" s="2"/>
    </row>
    <row r="59" customFormat="false" ht="15.75" hidden="false" customHeight="false" outlineLevel="0" collapsed="false">
      <c r="A59" s="5" t="s">
        <v>300</v>
      </c>
      <c r="B59" s="5" t="s">
        <v>301</v>
      </c>
      <c r="C59" s="5" t="s">
        <v>302</v>
      </c>
      <c r="D59" s="5" t="s">
        <v>15</v>
      </c>
      <c r="E59" s="2"/>
    </row>
    <row r="60" customFormat="false" ht="15.75" hidden="false" customHeight="false" outlineLevel="0" collapsed="false">
      <c r="A60" s="5" t="s">
        <v>303</v>
      </c>
      <c r="B60" s="5" t="s">
        <v>304</v>
      </c>
      <c r="C60" s="5" t="s">
        <v>187</v>
      </c>
      <c r="D60" s="5" t="s">
        <v>202</v>
      </c>
      <c r="E60" s="2"/>
    </row>
    <row r="61" customFormat="false" ht="15.75" hidden="false" customHeight="false" outlineLevel="0" collapsed="false">
      <c r="A61" s="5" t="s">
        <v>305</v>
      </c>
      <c r="B61" s="5" t="s">
        <v>306</v>
      </c>
      <c r="C61" s="5" t="s">
        <v>187</v>
      </c>
      <c r="D61" s="5" t="s">
        <v>184</v>
      </c>
      <c r="E61" s="2"/>
    </row>
    <row r="62" customFormat="false" ht="15.75" hidden="false" customHeight="false" outlineLevel="0" collapsed="false">
      <c r="A62" s="5" t="s">
        <v>307</v>
      </c>
      <c r="B62" s="5" t="s">
        <v>308</v>
      </c>
      <c r="C62" s="6" t="n">
        <v>0</v>
      </c>
      <c r="D62" s="5" t="s">
        <v>15</v>
      </c>
      <c r="E62" s="2"/>
    </row>
    <row r="63" customFormat="false" ht="15.75" hidden="false" customHeight="false" outlineLevel="0" collapsed="false">
      <c r="A63" s="5" t="s">
        <v>309</v>
      </c>
      <c r="B63" s="5" t="s">
        <v>310</v>
      </c>
      <c r="C63" s="5" t="s">
        <v>187</v>
      </c>
      <c r="D63" s="5" t="s">
        <v>196</v>
      </c>
      <c r="E63" s="2"/>
    </row>
    <row r="64" customFormat="false" ht="15.75" hidden="false" customHeight="false" outlineLevel="0" collapsed="false">
      <c r="A64" s="5" t="s">
        <v>311</v>
      </c>
      <c r="B64" s="5" t="s">
        <v>312</v>
      </c>
      <c r="C64" s="5" t="s">
        <v>266</v>
      </c>
      <c r="D64" s="5" t="s">
        <v>196</v>
      </c>
      <c r="E64" s="2"/>
    </row>
    <row r="65" customFormat="false" ht="15.75" hidden="false" customHeight="false" outlineLevel="0" collapsed="false">
      <c r="A65" s="5" t="s">
        <v>313</v>
      </c>
      <c r="B65" s="5" t="s">
        <v>314</v>
      </c>
      <c r="C65" s="5" t="s">
        <v>187</v>
      </c>
      <c r="D65" s="5" t="s">
        <v>202</v>
      </c>
      <c r="E65" s="2"/>
    </row>
    <row r="66" customFormat="false" ht="15.75" hidden="false" customHeight="false" outlineLevel="0" collapsed="false">
      <c r="A66" s="5" t="s">
        <v>315</v>
      </c>
      <c r="B66" s="5" t="s">
        <v>316</v>
      </c>
      <c r="C66" s="5" t="s">
        <v>187</v>
      </c>
      <c r="D66" s="5" t="s">
        <v>202</v>
      </c>
      <c r="E66" s="2"/>
    </row>
    <row r="67" customFormat="false" ht="15.75" hidden="false" customHeight="false" outlineLevel="0" collapsed="false">
      <c r="A67" s="5" t="s">
        <v>317</v>
      </c>
      <c r="B67" s="5" t="s">
        <v>318</v>
      </c>
      <c r="C67" s="5" t="s">
        <v>187</v>
      </c>
      <c r="D67" s="5" t="s">
        <v>202</v>
      </c>
      <c r="E67" s="2"/>
    </row>
    <row r="68" customFormat="false" ht="15.75" hidden="false" customHeight="false" outlineLevel="0" collapsed="false">
      <c r="A68" s="5" t="s">
        <v>319</v>
      </c>
      <c r="B68" s="5" t="s">
        <v>320</v>
      </c>
      <c r="C68" s="5" t="s">
        <v>187</v>
      </c>
      <c r="D68" s="5" t="s">
        <v>184</v>
      </c>
      <c r="E68" s="2"/>
    </row>
    <row r="69" customFormat="false" ht="15.75" hidden="false" customHeight="false" outlineLevel="0" collapsed="false">
      <c r="A69" s="5" t="s">
        <v>321</v>
      </c>
      <c r="B69" s="5" t="s">
        <v>322</v>
      </c>
      <c r="C69" s="5" t="s">
        <v>187</v>
      </c>
      <c r="D69" s="5" t="s">
        <v>196</v>
      </c>
      <c r="E69" s="2"/>
    </row>
    <row r="70" customFormat="false" ht="15.75" hidden="false" customHeight="false" outlineLevel="0" collapsed="false">
      <c r="A70" s="5" t="s">
        <v>323</v>
      </c>
      <c r="B70" s="5" t="s">
        <v>324</v>
      </c>
      <c r="C70" s="5" t="s">
        <v>187</v>
      </c>
      <c r="D70" s="5" t="s">
        <v>202</v>
      </c>
      <c r="E70" s="2"/>
    </row>
    <row r="71" customFormat="false" ht="15.75" hidden="false" customHeight="false" outlineLevel="0" collapsed="false">
      <c r="A71" s="5" t="s">
        <v>325</v>
      </c>
      <c r="B71" s="5" t="s">
        <v>326</v>
      </c>
      <c r="C71" s="5" t="s">
        <v>187</v>
      </c>
      <c r="D71" s="5" t="s">
        <v>196</v>
      </c>
      <c r="E71" s="2"/>
    </row>
    <row r="72" customFormat="false" ht="15.75" hidden="false" customHeight="false" outlineLevel="0" collapsed="false">
      <c r="A72" s="5" t="s">
        <v>327</v>
      </c>
      <c r="B72" s="5" t="s">
        <v>328</v>
      </c>
      <c r="C72" s="5" t="s">
        <v>187</v>
      </c>
      <c r="D72" s="5" t="s">
        <v>202</v>
      </c>
      <c r="E72" s="2"/>
    </row>
    <row r="73" customFormat="false" ht="15.75" hidden="false" customHeight="false" outlineLevel="0" collapsed="false">
      <c r="A73" s="5" t="s">
        <v>329</v>
      </c>
      <c r="B73" s="5" t="s">
        <v>330</v>
      </c>
      <c r="C73" s="5" t="s">
        <v>49</v>
      </c>
      <c r="D73" s="5" t="s">
        <v>15</v>
      </c>
      <c r="E73" s="2"/>
    </row>
    <row r="74" customFormat="false" ht="15.75" hidden="false" customHeight="false" outlineLevel="0" collapsed="false">
      <c r="A74" s="5" t="s">
        <v>331</v>
      </c>
      <c r="B74" s="5" t="s">
        <v>332</v>
      </c>
      <c r="C74" s="5" t="s">
        <v>183</v>
      </c>
      <c r="D74" s="5" t="s">
        <v>184</v>
      </c>
      <c r="E74" s="2"/>
    </row>
    <row r="75" customFormat="false" ht="15.75" hidden="false" customHeight="false" outlineLevel="0" collapsed="false">
      <c r="A75" s="5" t="s">
        <v>333</v>
      </c>
      <c r="B75" s="5" t="s">
        <v>334</v>
      </c>
      <c r="C75" s="5" t="s">
        <v>180</v>
      </c>
      <c r="D75" s="5" t="s">
        <v>196</v>
      </c>
      <c r="E75" s="2"/>
    </row>
    <row r="76" customFormat="false" ht="15.75" hidden="false" customHeight="false" outlineLevel="0" collapsed="false">
      <c r="A76" s="5" t="s">
        <v>335</v>
      </c>
      <c r="B76" s="5" t="s">
        <v>336</v>
      </c>
      <c r="C76" s="5" t="s">
        <v>187</v>
      </c>
      <c r="D76" s="5" t="s">
        <v>257</v>
      </c>
      <c r="E76" s="2"/>
    </row>
    <row r="77" customFormat="false" ht="15.75" hidden="false" customHeight="false" outlineLevel="0" collapsed="false">
      <c r="A77" s="5" t="s">
        <v>22</v>
      </c>
      <c r="B77" s="5" t="s">
        <v>23</v>
      </c>
      <c r="C77" s="5" t="s">
        <v>21</v>
      </c>
      <c r="D77" s="5" t="s">
        <v>15</v>
      </c>
      <c r="E77" s="2"/>
    </row>
    <row r="78" customFormat="false" ht="15.75" hidden="false" customHeight="false" outlineLevel="0" collapsed="false">
      <c r="A78" s="5" t="s">
        <v>337</v>
      </c>
      <c r="B78" s="5" t="s">
        <v>338</v>
      </c>
      <c r="C78" s="5" t="s">
        <v>180</v>
      </c>
      <c r="D78" s="5" t="s">
        <v>15</v>
      </c>
      <c r="E78" s="2"/>
    </row>
    <row r="79" customFormat="false" ht="15.75" hidden="false" customHeight="false" outlineLevel="0" collapsed="false">
      <c r="A79" s="5" t="s">
        <v>339</v>
      </c>
      <c r="B79" s="5" t="s">
        <v>340</v>
      </c>
      <c r="C79" s="5" t="s">
        <v>187</v>
      </c>
      <c r="D79" s="5" t="s">
        <v>202</v>
      </c>
      <c r="E79" s="2"/>
    </row>
    <row r="80" customFormat="false" ht="15.75" hidden="false" customHeight="false" outlineLevel="0" collapsed="false">
      <c r="A80" s="5" t="s">
        <v>24</v>
      </c>
      <c r="B80" s="5" t="s">
        <v>25</v>
      </c>
      <c r="C80" s="5" t="s">
        <v>26</v>
      </c>
      <c r="D80" s="5" t="s">
        <v>15</v>
      </c>
      <c r="E80" s="2"/>
    </row>
    <row r="81" customFormat="false" ht="15.75" hidden="false" customHeight="false" outlineLevel="0" collapsed="false">
      <c r="A81" s="5" t="s">
        <v>341</v>
      </c>
      <c r="B81" s="5" t="s">
        <v>342</v>
      </c>
      <c r="C81" s="5" t="s">
        <v>187</v>
      </c>
      <c r="D81" s="5" t="s">
        <v>202</v>
      </c>
      <c r="E81" s="2"/>
    </row>
    <row r="82" customFormat="false" ht="15.75" hidden="false" customHeight="false" outlineLevel="0" collapsed="false">
      <c r="A82" s="5" t="s">
        <v>343</v>
      </c>
      <c r="B82" s="5" t="s">
        <v>344</v>
      </c>
      <c r="C82" s="5" t="s">
        <v>187</v>
      </c>
      <c r="D82" s="5" t="s">
        <v>345</v>
      </c>
      <c r="E82" s="2"/>
    </row>
    <row r="83" customFormat="false" ht="15.75" hidden="false" customHeight="false" outlineLevel="0" collapsed="false">
      <c r="A83" s="5" t="s">
        <v>346</v>
      </c>
      <c r="B83" s="5" t="s">
        <v>347</v>
      </c>
      <c r="C83" s="5" t="s">
        <v>187</v>
      </c>
      <c r="D83" s="5" t="s">
        <v>202</v>
      </c>
      <c r="E83" s="2"/>
    </row>
    <row r="84" customFormat="false" ht="15.75" hidden="false" customHeight="false" outlineLevel="0" collapsed="false">
      <c r="A84" s="5" t="s">
        <v>348</v>
      </c>
      <c r="B84" s="5" t="s">
        <v>349</v>
      </c>
      <c r="C84" s="5" t="s">
        <v>183</v>
      </c>
      <c r="D84" s="5" t="s">
        <v>184</v>
      </c>
      <c r="E84" s="2"/>
    </row>
    <row r="85" customFormat="false" ht="15.75" hidden="false" customHeight="false" outlineLevel="0" collapsed="false">
      <c r="A85" s="5" t="s">
        <v>350</v>
      </c>
      <c r="B85" s="5" t="s">
        <v>351</v>
      </c>
      <c r="C85" s="5" t="s">
        <v>187</v>
      </c>
      <c r="D85" s="5" t="s">
        <v>202</v>
      </c>
      <c r="E85" s="2"/>
    </row>
    <row r="86" customFormat="false" ht="15.75" hidden="false" customHeight="false" outlineLevel="0" collapsed="false">
      <c r="A86" s="5" t="s">
        <v>27</v>
      </c>
      <c r="B86" s="5" t="s">
        <v>28</v>
      </c>
      <c r="C86" s="5" t="s">
        <v>29</v>
      </c>
      <c r="D86" s="5" t="s">
        <v>15</v>
      </c>
      <c r="E86" s="2"/>
    </row>
    <row r="87" customFormat="false" ht="15.75" hidden="false" customHeight="false" outlineLevel="0" collapsed="false">
      <c r="A87" s="5" t="s">
        <v>352</v>
      </c>
      <c r="B87" s="5" t="s">
        <v>353</v>
      </c>
      <c r="C87" s="5" t="s">
        <v>187</v>
      </c>
      <c r="D87" s="5" t="s">
        <v>202</v>
      </c>
      <c r="E87" s="2"/>
    </row>
    <row r="88" customFormat="false" ht="15.75" hidden="false" customHeight="false" outlineLevel="0" collapsed="false">
      <c r="A88" s="5" t="s">
        <v>30</v>
      </c>
      <c r="B88" s="5" t="s">
        <v>31</v>
      </c>
      <c r="C88" s="5" t="s">
        <v>32</v>
      </c>
      <c r="D88" s="5" t="s">
        <v>15</v>
      </c>
      <c r="E88" s="2"/>
    </row>
    <row r="89" customFormat="false" ht="15.75" hidden="false" customHeight="false" outlineLevel="0" collapsed="false">
      <c r="A89" s="5" t="s">
        <v>354</v>
      </c>
      <c r="B89" s="5" t="s">
        <v>355</v>
      </c>
      <c r="C89" s="5" t="s">
        <v>183</v>
      </c>
      <c r="D89" s="5" t="s">
        <v>184</v>
      </c>
      <c r="E89" s="2"/>
    </row>
    <row r="90" customFormat="false" ht="15.75" hidden="false" customHeight="false" outlineLevel="0" collapsed="false">
      <c r="A90" s="5" t="s">
        <v>356</v>
      </c>
      <c r="B90" s="5" t="s">
        <v>357</v>
      </c>
      <c r="C90" s="5" t="s">
        <v>187</v>
      </c>
      <c r="D90" s="5" t="s">
        <v>202</v>
      </c>
      <c r="E90" s="2"/>
    </row>
    <row r="91" customFormat="false" ht="15.75" hidden="false" customHeight="false" outlineLevel="0" collapsed="false">
      <c r="A91" s="5" t="s">
        <v>358</v>
      </c>
      <c r="B91" s="5" t="s">
        <v>359</v>
      </c>
      <c r="C91" s="5" t="s">
        <v>236</v>
      </c>
      <c r="D91" s="5" t="s">
        <v>184</v>
      </c>
      <c r="E91" s="2"/>
    </row>
    <row r="92" customFormat="false" ht="15.75" hidden="false" customHeight="false" outlineLevel="0" collapsed="false">
      <c r="A92" s="5" t="s">
        <v>360</v>
      </c>
      <c r="B92" s="5" t="s">
        <v>361</v>
      </c>
      <c r="C92" s="5" t="s">
        <v>287</v>
      </c>
      <c r="D92" s="5" t="s">
        <v>208</v>
      </c>
      <c r="E92" s="2"/>
    </row>
    <row r="93" customFormat="false" ht="15.75" hidden="false" customHeight="false" outlineLevel="0" collapsed="false">
      <c r="A93" s="5" t="s">
        <v>362</v>
      </c>
      <c r="B93" s="5" t="s">
        <v>363</v>
      </c>
      <c r="C93" s="5" t="s">
        <v>35</v>
      </c>
      <c r="D93" s="5" t="s">
        <v>15</v>
      </c>
      <c r="E93" s="2"/>
    </row>
    <row r="94" customFormat="false" ht="15.75" hidden="false" customHeight="false" outlineLevel="0" collapsed="false">
      <c r="A94" s="5" t="s">
        <v>364</v>
      </c>
      <c r="B94" s="5" t="s">
        <v>365</v>
      </c>
      <c r="C94" s="5" t="s">
        <v>187</v>
      </c>
      <c r="D94" s="5" t="s">
        <v>208</v>
      </c>
      <c r="E94" s="2"/>
    </row>
    <row r="95" customFormat="false" ht="15.75" hidden="false" customHeight="false" outlineLevel="0" collapsed="false">
      <c r="A95" s="5" t="s">
        <v>366</v>
      </c>
      <c r="B95" s="5" t="s">
        <v>367</v>
      </c>
      <c r="C95" s="5" t="s">
        <v>187</v>
      </c>
      <c r="D95" s="5" t="s">
        <v>199</v>
      </c>
      <c r="E95" s="2"/>
    </row>
    <row r="96" customFormat="false" ht="15.75" hidden="false" customHeight="false" outlineLevel="0" collapsed="false">
      <c r="A96" s="5" t="s">
        <v>368</v>
      </c>
      <c r="B96" s="5" t="s">
        <v>369</v>
      </c>
      <c r="C96" s="5" t="s">
        <v>187</v>
      </c>
      <c r="D96" s="5" t="s">
        <v>208</v>
      </c>
      <c r="E96" s="2"/>
    </row>
    <row r="97" customFormat="false" ht="15.75" hidden="false" customHeight="false" outlineLevel="0" collapsed="false">
      <c r="A97" s="5" t="s">
        <v>33</v>
      </c>
      <c r="B97" s="5" t="s">
        <v>34</v>
      </c>
      <c r="C97" s="5" t="s">
        <v>35</v>
      </c>
      <c r="D97" s="5" t="s">
        <v>15</v>
      </c>
      <c r="E97" s="2"/>
    </row>
    <row r="98" customFormat="false" ht="15.75" hidden="false" customHeight="false" outlineLevel="0" collapsed="false">
      <c r="A98" s="5" t="s">
        <v>36</v>
      </c>
      <c r="B98" s="5" t="s">
        <v>37</v>
      </c>
      <c r="C98" s="5" t="s">
        <v>14</v>
      </c>
      <c r="D98" s="5" t="s">
        <v>15</v>
      </c>
      <c r="E98" s="2"/>
    </row>
    <row r="99" customFormat="false" ht="15.75" hidden="false" customHeight="false" outlineLevel="0" collapsed="false">
      <c r="A99" s="5" t="s">
        <v>370</v>
      </c>
      <c r="B99" s="5" t="s">
        <v>371</v>
      </c>
      <c r="C99" s="5" t="s">
        <v>187</v>
      </c>
      <c r="D99" s="5" t="s">
        <v>208</v>
      </c>
      <c r="E99" s="2"/>
    </row>
    <row r="100" customFormat="false" ht="15.75" hidden="false" customHeight="false" outlineLevel="0" collapsed="false">
      <c r="A100" s="5" t="s">
        <v>38</v>
      </c>
      <c r="B100" s="5" t="s">
        <v>39</v>
      </c>
      <c r="C100" s="5" t="s">
        <v>32</v>
      </c>
      <c r="D100" s="5" t="s">
        <v>15</v>
      </c>
      <c r="E100" s="2"/>
    </row>
    <row r="101" customFormat="false" ht="15.75" hidden="false" customHeight="false" outlineLevel="0" collapsed="false">
      <c r="A101" s="5" t="s">
        <v>372</v>
      </c>
      <c r="B101" s="5" t="s">
        <v>373</v>
      </c>
      <c r="C101" s="5" t="s">
        <v>187</v>
      </c>
      <c r="D101" s="5" t="s">
        <v>257</v>
      </c>
      <c r="E101" s="2"/>
    </row>
    <row r="102" customFormat="false" ht="15.75" hidden="false" customHeight="false" outlineLevel="0" collapsed="false">
      <c r="A102" s="5" t="s">
        <v>40</v>
      </c>
      <c r="B102" s="5" t="s">
        <v>41</v>
      </c>
      <c r="C102" s="5" t="s">
        <v>35</v>
      </c>
      <c r="D102" s="5" t="s">
        <v>15</v>
      </c>
      <c r="E102" s="2"/>
    </row>
    <row r="103" customFormat="false" ht="15.75" hidden="false" customHeight="false" outlineLevel="0" collapsed="false">
      <c r="A103" s="5" t="s">
        <v>374</v>
      </c>
      <c r="B103" s="5" t="s">
        <v>375</v>
      </c>
      <c r="C103" s="5" t="s">
        <v>187</v>
      </c>
      <c r="D103" s="5" t="s">
        <v>202</v>
      </c>
      <c r="E103" s="2"/>
    </row>
    <row r="104" customFormat="false" ht="15.75" hidden="false" customHeight="false" outlineLevel="0" collapsed="false">
      <c r="A104" s="5" t="s">
        <v>376</v>
      </c>
      <c r="B104" s="5" t="s">
        <v>377</v>
      </c>
      <c r="C104" s="5" t="s">
        <v>180</v>
      </c>
      <c r="D104" s="5" t="s">
        <v>15</v>
      </c>
      <c r="E104" s="2"/>
    </row>
    <row r="105" customFormat="false" ht="15.75" hidden="false" customHeight="false" outlineLevel="0" collapsed="false">
      <c r="A105" s="5" t="s">
        <v>378</v>
      </c>
      <c r="B105" s="5" t="s">
        <v>379</v>
      </c>
      <c r="C105" s="5" t="s">
        <v>380</v>
      </c>
      <c r="D105" s="5" t="s">
        <v>15</v>
      </c>
      <c r="E105" s="2"/>
    </row>
    <row r="106" customFormat="false" ht="15.75" hidden="false" customHeight="false" outlineLevel="0" collapsed="false">
      <c r="A106" s="5" t="s">
        <v>381</v>
      </c>
      <c r="B106" s="5" t="s">
        <v>382</v>
      </c>
      <c r="C106" s="5" t="s">
        <v>180</v>
      </c>
      <c r="D106" s="5" t="s">
        <v>199</v>
      </c>
      <c r="E106" s="2"/>
    </row>
    <row r="107" customFormat="false" ht="15.75" hidden="false" customHeight="false" outlineLevel="0" collapsed="false">
      <c r="A107" s="5" t="s">
        <v>383</v>
      </c>
      <c r="B107" s="5" t="s">
        <v>384</v>
      </c>
      <c r="C107" s="5" t="s">
        <v>187</v>
      </c>
      <c r="D107" s="5" t="s">
        <v>202</v>
      </c>
      <c r="E107" s="2"/>
    </row>
    <row r="108" customFormat="false" ht="15.75" hidden="false" customHeight="false" outlineLevel="0" collapsed="false">
      <c r="A108" s="5" t="s">
        <v>385</v>
      </c>
      <c r="B108" s="5" t="s">
        <v>386</v>
      </c>
      <c r="C108" s="5" t="s">
        <v>187</v>
      </c>
      <c r="D108" s="5" t="s">
        <v>202</v>
      </c>
      <c r="E108" s="2"/>
    </row>
    <row r="109" customFormat="false" ht="15.75" hidden="false" customHeight="false" outlineLevel="0" collapsed="false">
      <c r="A109" s="5" t="s">
        <v>387</v>
      </c>
      <c r="B109" s="5" t="s">
        <v>388</v>
      </c>
      <c r="C109" s="5" t="s">
        <v>187</v>
      </c>
      <c r="D109" s="5" t="s">
        <v>202</v>
      </c>
      <c r="E109" s="2"/>
    </row>
    <row r="110" customFormat="false" ht="15.75" hidden="false" customHeight="false" outlineLevel="0" collapsed="false">
      <c r="A110" s="5" t="s">
        <v>389</v>
      </c>
      <c r="B110" s="5" t="s">
        <v>390</v>
      </c>
      <c r="C110" s="5" t="s">
        <v>187</v>
      </c>
      <c r="D110" s="5" t="s">
        <v>202</v>
      </c>
      <c r="E110" s="2"/>
    </row>
    <row r="111" customFormat="false" ht="15.75" hidden="false" customHeight="false" outlineLevel="0" collapsed="false">
      <c r="A111" s="5" t="s">
        <v>391</v>
      </c>
      <c r="B111" s="5" t="s">
        <v>392</v>
      </c>
      <c r="C111" s="5" t="s">
        <v>187</v>
      </c>
      <c r="D111" s="5" t="s">
        <v>202</v>
      </c>
      <c r="E111" s="2"/>
    </row>
    <row r="112" customFormat="false" ht="15.75" hidden="false" customHeight="false" outlineLevel="0" collapsed="false">
      <c r="A112" s="5" t="s">
        <v>393</v>
      </c>
      <c r="B112" s="5" t="s">
        <v>394</v>
      </c>
      <c r="C112" s="5" t="s">
        <v>187</v>
      </c>
      <c r="D112" s="5" t="s">
        <v>202</v>
      </c>
      <c r="E112" s="2"/>
    </row>
    <row r="113" customFormat="false" ht="15.75" hidden="false" customHeight="false" outlineLevel="0" collapsed="false">
      <c r="A113" s="5" t="s">
        <v>395</v>
      </c>
      <c r="B113" s="5" t="s">
        <v>396</v>
      </c>
      <c r="C113" s="5" t="s">
        <v>187</v>
      </c>
      <c r="D113" s="5" t="s">
        <v>202</v>
      </c>
      <c r="E113" s="2"/>
    </row>
    <row r="114" customFormat="false" ht="15.75" hidden="false" customHeight="false" outlineLevel="0" collapsed="false">
      <c r="A114" s="5" t="s">
        <v>397</v>
      </c>
      <c r="B114" s="5" t="s">
        <v>398</v>
      </c>
      <c r="C114" s="5" t="s">
        <v>183</v>
      </c>
      <c r="D114" s="5" t="s">
        <v>184</v>
      </c>
      <c r="E114" s="2"/>
    </row>
    <row r="115" customFormat="false" ht="15.75" hidden="false" customHeight="false" outlineLevel="0" collapsed="false">
      <c r="A115" s="5" t="s">
        <v>399</v>
      </c>
      <c r="B115" s="5" t="s">
        <v>400</v>
      </c>
      <c r="C115" s="5" t="s">
        <v>180</v>
      </c>
      <c r="D115" s="5" t="s">
        <v>15</v>
      </c>
      <c r="E115" s="2"/>
    </row>
    <row r="116" customFormat="false" ht="15.75" hidden="false" customHeight="false" outlineLevel="0" collapsed="false">
      <c r="A116" s="5" t="s">
        <v>401</v>
      </c>
      <c r="B116" s="5" t="s">
        <v>402</v>
      </c>
      <c r="C116" s="5" t="s">
        <v>187</v>
      </c>
      <c r="D116" s="5" t="s">
        <v>196</v>
      </c>
      <c r="E116" s="2"/>
    </row>
    <row r="117" customFormat="false" ht="15.75" hidden="false" customHeight="false" outlineLevel="0" collapsed="false">
      <c r="A117" s="5" t="s">
        <v>403</v>
      </c>
      <c r="B117" s="5" t="s">
        <v>404</v>
      </c>
      <c r="C117" s="5" t="s">
        <v>187</v>
      </c>
      <c r="D117" s="5" t="s">
        <v>208</v>
      </c>
      <c r="E117" s="2"/>
    </row>
    <row r="118" customFormat="false" ht="15.75" hidden="false" customHeight="false" outlineLevel="0" collapsed="false">
      <c r="A118" s="5" t="s">
        <v>405</v>
      </c>
      <c r="B118" s="5" t="s">
        <v>406</v>
      </c>
      <c r="C118" s="5" t="s">
        <v>187</v>
      </c>
      <c r="D118" s="5" t="s">
        <v>202</v>
      </c>
      <c r="E118" s="2"/>
    </row>
    <row r="119" customFormat="false" ht="15.75" hidden="false" customHeight="false" outlineLevel="0" collapsed="false">
      <c r="A119" s="5" t="s">
        <v>407</v>
      </c>
      <c r="B119" s="5" t="s">
        <v>408</v>
      </c>
      <c r="C119" s="5" t="s">
        <v>187</v>
      </c>
      <c r="D119" s="5" t="s">
        <v>188</v>
      </c>
      <c r="E119" s="2"/>
    </row>
    <row r="120" customFormat="false" ht="15.75" hidden="false" customHeight="false" outlineLevel="0" collapsed="false">
      <c r="A120" s="5" t="s">
        <v>409</v>
      </c>
      <c r="B120" s="5" t="s">
        <v>410</v>
      </c>
      <c r="C120" s="5" t="s">
        <v>187</v>
      </c>
      <c r="D120" s="5" t="s">
        <v>202</v>
      </c>
      <c r="E120" s="2"/>
    </row>
    <row r="121" customFormat="false" ht="15.75" hidden="false" customHeight="false" outlineLevel="0" collapsed="false">
      <c r="A121" s="5" t="s">
        <v>411</v>
      </c>
      <c r="B121" s="5" t="s">
        <v>412</v>
      </c>
      <c r="C121" s="5" t="s">
        <v>180</v>
      </c>
      <c r="D121" s="5" t="s">
        <v>199</v>
      </c>
      <c r="E121" s="2"/>
    </row>
    <row r="122" customFormat="false" ht="15.75" hidden="false" customHeight="false" outlineLevel="0" collapsed="false">
      <c r="A122" s="5" t="s">
        <v>413</v>
      </c>
      <c r="B122" s="5" t="s">
        <v>414</v>
      </c>
      <c r="C122" s="5" t="s">
        <v>187</v>
      </c>
      <c r="D122" s="5" t="s">
        <v>202</v>
      </c>
      <c r="E122" s="2"/>
    </row>
    <row r="123" customFormat="false" ht="15.75" hidden="false" customHeight="false" outlineLevel="0" collapsed="false">
      <c r="A123" s="5" t="s">
        <v>415</v>
      </c>
      <c r="B123" s="5" t="s">
        <v>416</v>
      </c>
      <c r="C123" s="5" t="s">
        <v>187</v>
      </c>
      <c r="D123" s="5" t="s">
        <v>202</v>
      </c>
      <c r="E123" s="2"/>
    </row>
    <row r="124" customFormat="false" ht="15.75" hidden="false" customHeight="false" outlineLevel="0" collapsed="false">
      <c r="A124" s="5" t="s">
        <v>417</v>
      </c>
      <c r="B124" s="5" t="s">
        <v>418</v>
      </c>
      <c r="C124" s="5" t="s">
        <v>187</v>
      </c>
      <c r="D124" s="5" t="s">
        <v>188</v>
      </c>
      <c r="E124" s="2"/>
    </row>
    <row r="125" customFormat="false" ht="15.75" hidden="false" customHeight="false" outlineLevel="0" collapsed="false">
      <c r="A125" s="5" t="s">
        <v>419</v>
      </c>
      <c r="B125" s="5" t="s">
        <v>420</v>
      </c>
      <c r="C125" s="5" t="s">
        <v>187</v>
      </c>
      <c r="D125" s="5" t="s">
        <v>202</v>
      </c>
      <c r="E125" s="2"/>
    </row>
    <row r="126" customFormat="false" ht="15.75" hidden="false" customHeight="false" outlineLevel="0" collapsed="false">
      <c r="A126" s="5" t="s">
        <v>421</v>
      </c>
      <c r="B126" s="5" t="s">
        <v>422</v>
      </c>
      <c r="C126" s="5" t="s">
        <v>35</v>
      </c>
      <c r="D126" s="5" t="s">
        <v>15</v>
      </c>
      <c r="E126" s="2"/>
    </row>
    <row r="127" customFormat="false" ht="15.75" hidden="false" customHeight="false" outlineLevel="0" collapsed="false">
      <c r="A127" s="5" t="s">
        <v>42</v>
      </c>
      <c r="B127" s="5" t="s">
        <v>43</v>
      </c>
      <c r="C127" s="5" t="s">
        <v>35</v>
      </c>
      <c r="D127" s="5" t="s">
        <v>15</v>
      </c>
      <c r="E127" s="2"/>
    </row>
    <row r="128" customFormat="false" ht="15.75" hidden="false" customHeight="false" outlineLevel="0" collapsed="false">
      <c r="A128" s="5" t="s">
        <v>423</v>
      </c>
      <c r="B128" s="5" t="s">
        <v>424</v>
      </c>
      <c r="C128" s="5" t="s">
        <v>187</v>
      </c>
      <c r="D128" s="5" t="s">
        <v>202</v>
      </c>
      <c r="E128" s="2"/>
    </row>
    <row r="129" customFormat="false" ht="15.75" hidden="false" customHeight="false" outlineLevel="0" collapsed="false">
      <c r="A129" s="5" t="s">
        <v>425</v>
      </c>
      <c r="B129" s="5" t="s">
        <v>426</v>
      </c>
      <c r="C129" s="5" t="s">
        <v>215</v>
      </c>
      <c r="D129" s="5" t="s">
        <v>184</v>
      </c>
      <c r="E129" s="2"/>
    </row>
    <row r="130" customFormat="false" ht="15.75" hidden="false" customHeight="false" outlineLevel="0" collapsed="false">
      <c r="A130" s="5" t="s">
        <v>427</v>
      </c>
      <c r="B130" s="5" t="s">
        <v>428</v>
      </c>
      <c r="C130" s="5" t="s">
        <v>187</v>
      </c>
      <c r="D130" s="5" t="s">
        <v>202</v>
      </c>
      <c r="E130" s="2"/>
    </row>
    <row r="131" customFormat="false" ht="15.75" hidden="false" customHeight="false" outlineLevel="0" collapsed="false">
      <c r="A131" s="5" t="s">
        <v>429</v>
      </c>
      <c r="B131" s="5" t="s">
        <v>430</v>
      </c>
      <c r="C131" s="5" t="s">
        <v>35</v>
      </c>
      <c r="D131" s="5" t="s">
        <v>15</v>
      </c>
      <c r="E131" s="2"/>
    </row>
    <row r="132" customFormat="false" ht="15.75" hidden="false" customHeight="false" outlineLevel="0" collapsed="false">
      <c r="A132" s="5" t="s">
        <v>431</v>
      </c>
      <c r="B132" s="5" t="s">
        <v>432</v>
      </c>
      <c r="C132" s="5" t="s">
        <v>187</v>
      </c>
      <c r="D132" s="5" t="s">
        <v>196</v>
      </c>
      <c r="E132" s="2"/>
    </row>
    <row r="133" customFormat="false" ht="15.75" hidden="false" customHeight="false" outlineLevel="0" collapsed="false">
      <c r="A133" s="5" t="s">
        <v>433</v>
      </c>
      <c r="B133" s="5" t="s">
        <v>434</v>
      </c>
      <c r="C133" s="5" t="s">
        <v>180</v>
      </c>
      <c r="D133" s="5" t="s">
        <v>15</v>
      </c>
      <c r="E133" s="2"/>
    </row>
    <row r="134" customFormat="false" ht="15.75" hidden="false" customHeight="false" outlineLevel="0" collapsed="false">
      <c r="A134" s="5" t="s">
        <v>435</v>
      </c>
      <c r="B134" s="5" t="s">
        <v>436</v>
      </c>
      <c r="C134" s="5" t="s">
        <v>187</v>
      </c>
      <c r="D134" s="5" t="s">
        <v>196</v>
      </c>
      <c r="E134" s="2"/>
    </row>
    <row r="135" customFormat="false" ht="15.75" hidden="false" customHeight="false" outlineLevel="0" collapsed="false">
      <c r="A135" s="5" t="s">
        <v>437</v>
      </c>
      <c r="B135" s="5" t="s">
        <v>438</v>
      </c>
      <c r="C135" s="5" t="s">
        <v>180</v>
      </c>
      <c r="D135" s="5" t="s">
        <v>15</v>
      </c>
      <c r="E135" s="2"/>
    </row>
    <row r="136" customFormat="false" ht="15.75" hidden="false" customHeight="false" outlineLevel="0" collapsed="false">
      <c r="A136" s="5" t="s">
        <v>439</v>
      </c>
      <c r="B136" s="5" t="s">
        <v>440</v>
      </c>
      <c r="C136" s="5" t="s">
        <v>187</v>
      </c>
      <c r="D136" s="5" t="s">
        <v>196</v>
      </c>
      <c r="E136" s="2"/>
    </row>
    <row r="137" customFormat="false" ht="15.75" hidden="false" customHeight="false" outlineLevel="0" collapsed="false">
      <c r="A137" s="5" t="s">
        <v>441</v>
      </c>
      <c r="B137" s="5" t="s">
        <v>442</v>
      </c>
      <c r="C137" s="5" t="s">
        <v>180</v>
      </c>
      <c r="D137" s="5" t="s">
        <v>15</v>
      </c>
      <c r="E137" s="2"/>
    </row>
    <row r="138" customFormat="false" ht="15.75" hidden="false" customHeight="false" outlineLevel="0" collapsed="false">
      <c r="A138" s="5" t="s">
        <v>443</v>
      </c>
      <c r="B138" s="5" t="s">
        <v>444</v>
      </c>
      <c r="C138" s="5" t="s">
        <v>187</v>
      </c>
      <c r="D138" s="5" t="s">
        <v>202</v>
      </c>
      <c r="E138" s="2"/>
    </row>
    <row r="139" customFormat="false" ht="15.75" hidden="false" customHeight="false" outlineLevel="0" collapsed="false">
      <c r="A139" s="5" t="s">
        <v>445</v>
      </c>
      <c r="B139" s="5" t="s">
        <v>446</v>
      </c>
      <c r="C139" s="5" t="s">
        <v>180</v>
      </c>
      <c r="D139" s="5" t="s">
        <v>15</v>
      </c>
      <c r="E139" s="2"/>
    </row>
    <row r="140" customFormat="false" ht="15.75" hidden="false" customHeight="false" outlineLevel="0" collapsed="false">
      <c r="A140" s="5" t="s">
        <v>447</v>
      </c>
      <c r="B140" s="5" t="s">
        <v>448</v>
      </c>
      <c r="C140" s="5" t="s">
        <v>187</v>
      </c>
      <c r="D140" s="5" t="s">
        <v>202</v>
      </c>
      <c r="E140" s="2"/>
    </row>
    <row r="141" customFormat="false" ht="15.75" hidden="false" customHeight="false" outlineLevel="0" collapsed="false">
      <c r="A141" s="5" t="s">
        <v>449</v>
      </c>
      <c r="B141" s="5" t="s">
        <v>450</v>
      </c>
      <c r="C141" s="5" t="s">
        <v>191</v>
      </c>
      <c r="D141" s="5" t="s">
        <v>15</v>
      </c>
      <c r="E141" s="2"/>
    </row>
    <row r="142" customFormat="false" ht="15.75" hidden="false" customHeight="false" outlineLevel="0" collapsed="false">
      <c r="A142" s="5" t="s">
        <v>451</v>
      </c>
      <c r="B142" s="5" t="s">
        <v>452</v>
      </c>
      <c r="C142" s="5" t="s">
        <v>187</v>
      </c>
      <c r="D142" s="5" t="s">
        <v>202</v>
      </c>
      <c r="E142" s="2"/>
    </row>
    <row r="143" customFormat="false" ht="15.75" hidden="false" customHeight="false" outlineLevel="0" collapsed="false">
      <c r="A143" s="5" t="s">
        <v>453</v>
      </c>
      <c r="B143" s="5" t="s">
        <v>454</v>
      </c>
      <c r="C143" s="5" t="s">
        <v>187</v>
      </c>
      <c r="D143" s="5" t="s">
        <v>257</v>
      </c>
      <c r="E143" s="2"/>
    </row>
    <row r="144" customFormat="false" ht="15.75" hidden="false" customHeight="false" outlineLevel="0" collapsed="false">
      <c r="A144" s="5" t="s">
        <v>455</v>
      </c>
      <c r="B144" s="5" t="s">
        <v>456</v>
      </c>
      <c r="C144" s="5" t="s">
        <v>187</v>
      </c>
      <c r="D144" s="5" t="s">
        <v>202</v>
      </c>
      <c r="E144" s="2"/>
    </row>
    <row r="145" customFormat="false" ht="15.75" hidden="false" customHeight="false" outlineLevel="0" collapsed="false">
      <c r="A145" s="5" t="s">
        <v>457</v>
      </c>
      <c r="B145" s="5" t="s">
        <v>458</v>
      </c>
      <c r="C145" s="5" t="s">
        <v>187</v>
      </c>
      <c r="D145" s="5" t="s">
        <v>196</v>
      </c>
      <c r="E145" s="2"/>
    </row>
    <row r="146" customFormat="false" ht="15.75" hidden="false" customHeight="false" outlineLevel="0" collapsed="false">
      <c r="A146" s="5" t="s">
        <v>459</v>
      </c>
      <c r="B146" s="5" t="s">
        <v>460</v>
      </c>
      <c r="C146" s="5" t="s">
        <v>187</v>
      </c>
      <c r="D146" s="5" t="s">
        <v>202</v>
      </c>
      <c r="E146" s="2"/>
    </row>
    <row r="147" customFormat="false" ht="15.75" hidden="false" customHeight="false" outlineLevel="0" collapsed="false">
      <c r="A147" s="5" t="s">
        <v>461</v>
      </c>
      <c r="B147" s="5" t="s">
        <v>462</v>
      </c>
      <c r="C147" s="5" t="s">
        <v>187</v>
      </c>
      <c r="D147" s="5" t="s">
        <v>202</v>
      </c>
      <c r="E147" s="2"/>
    </row>
    <row r="148" customFormat="false" ht="15.75" hidden="false" customHeight="false" outlineLevel="0" collapsed="false">
      <c r="A148" s="5" t="s">
        <v>44</v>
      </c>
      <c r="B148" s="5" t="s">
        <v>45</v>
      </c>
      <c r="C148" s="5" t="s">
        <v>46</v>
      </c>
      <c r="D148" s="5" t="s">
        <v>15</v>
      </c>
      <c r="E148" s="2"/>
    </row>
    <row r="149" customFormat="false" ht="15.75" hidden="false" customHeight="false" outlineLevel="0" collapsed="false">
      <c r="A149" s="5" t="s">
        <v>463</v>
      </c>
      <c r="B149" s="5" t="s">
        <v>464</v>
      </c>
      <c r="C149" s="5" t="s">
        <v>187</v>
      </c>
      <c r="D149" s="5" t="s">
        <v>202</v>
      </c>
      <c r="E149" s="2"/>
    </row>
    <row r="150" customFormat="false" ht="15.75" hidden="false" customHeight="false" outlineLevel="0" collapsed="false">
      <c r="A150" s="5" t="s">
        <v>465</v>
      </c>
      <c r="B150" s="5" t="s">
        <v>466</v>
      </c>
      <c r="C150" s="5" t="s">
        <v>187</v>
      </c>
      <c r="D150" s="5" t="s">
        <v>202</v>
      </c>
      <c r="E150" s="2"/>
    </row>
    <row r="151" customFormat="false" ht="15.75" hidden="false" customHeight="false" outlineLevel="0" collapsed="false">
      <c r="A151" s="5" t="s">
        <v>467</v>
      </c>
      <c r="B151" s="5" t="s">
        <v>468</v>
      </c>
      <c r="C151" s="5" t="s">
        <v>187</v>
      </c>
      <c r="D151" s="5" t="s">
        <v>257</v>
      </c>
      <c r="E151" s="2"/>
    </row>
    <row r="152" customFormat="false" ht="15.75" hidden="false" customHeight="false" outlineLevel="0" collapsed="false">
      <c r="A152" s="5" t="s">
        <v>469</v>
      </c>
      <c r="B152" s="5" t="s">
        <v>470</v>
      </c>
      <c r="C152" s="5" t="s">
        <v>187</v>
      </c>
      <c r="D152" s="5" t="s">
        <v>202</v>
      </c>
      <c r="E152" s="2"/>
    </row>
    <row r="153" customFormat="false" ht="15.75" hidden="false" customHeight="false" outlineLevel="0" collapsed="false">
      <c r="A153" s="5" t="s">
        <v>47</v>
      </c>
      <c r="B153" s="5" t="s">
        <v>48</v>
      </c>
      <c r="C153" s="5" t="s">
        <v>49</v>
      </c>
      <c r="D153" s="5" t="s">
        <v>15</v>
      </c>
      <c r="E153" s="2"/>
    </row>
    <row r="154" customFormat="false" ht="15.75" hidden="false" customHeight="false" outlineLevel="0" collapsed="false">
      <c r="A154" s="5" t="s">
        <v>471</v>
      </c>
      <c r="B154" s="5" t="s">
        <v>472</v>
      </c>
      <c r="C154" s="5" t="s">
        <v>187</v>
      </c>
      <c r="D154" s="5" t="s">
        <v>202</v>
      </c>
      <c r="E154" s="2"/>
    </row>
    <row r="155" customFormat="false" ht="15.75" hidden="false" customHeight="false" outlineLevel="0" collapsed="false">
      <c r="A155" s="5" t="s">
        <v>473</v>
      </c>
      <c r="B155" s="5" t="s">
        <v>474</v>
      </c>
      <c r="C155" s="5" t="s">
        <v>187</v>
      </c>
      <c r="D155" s="5" t="s">
        <v>208</v>
      </c>
      <c r="E155" s="2"/>
    </row>
    <row r="156" customFormat="false" ht="15.75" hidden="false" customHeight="false" outlineLevel="0" collapsed="false">
      <c r="A156" s="5" t="s">
        <v>50</v>
      </c>
      <c r="B156" s="5" t="s">
        <v>51</v>
      </c>
      <c r="C156" s="5" t="s">
        <v>35</v>
      </c>
      <c r="D156" s="5" t="s">
        <v>15</v>
      </c>
      <c r="E156" s="2"/>
    </row>
    <row r="157" customFormat="false" ht="15.75" hidden="false" customHeight="false" outlineLevel="0" collapsed="false">
      <c r="A157" s="5" t="s">
        <v>475</v>
      </c>
      <c r="B157" s="5" t="s">
        <v>476</v>
      </c>
      <c r="C157" s="5" t="s">
        <v>187</v>
      </c>
      <c r="D157" s="5" t="s">
        <v>196</v>
      </c>
      <c r="E157" s="2"/>
    </row>
    <row r="158" customFormat="false" ht="15.75" hidden="false" customHeight="false" outlineLevel="0" collapsed="false">
      <c r="A158" s="5" t="s">
        <v>477</v>
      </c>
      <c r="B158" s="5" t="s">
        <v>478</v>
      </c>
      <c r="C158" s="5" t="s">
        <v>479</v>
      </c>
      <c r="D158" s="5" t="s">
        <v>15</v>
      </c>
      <c r="E158" s="2"/>
    </row>
    <row r="159" customFormat="false" ht="15.75" hidden="false" customHeight="false" outlineLevel="0" collapsed="false">
      <c r="A159" s="5" t="s">
        <v>480</v>
      </c>
      <c r="B159" s="5" t="s">
        <v>481</v>
      </c>
      <c r="C159" s="5" t="s">
        <v>180</v>
      </c>
      <c r="D159" s="5" t="s">
        <v>15</v>
      </c>
      <c r="E159" s="2"/>
    </row>
    <row r="160" customFormat="false" ht="15.75" hidden="false" customHeight="false" outlineLevel="0" collapsed="false">
      <c r="A160" s="5" t="s">
        <v>482</v>
      </c>
      <c r="B160" s="5" t="s">
        <v>483</v>
      </c>
      <c r="C160" s="5" t="s">
        <v>187</v>
      </c>
      <c r="D160" s="5" t="s">
        <v>202</v>
      </c>
      <c r="E160" s="2"/>
    </row>
    <row r="161" customFormat="false" ht="15.75" hidden="false" customHeight="false" outlineLevel="0" collapsed="false">
      <c r="A161" s="5" t="s">
        <v>484</v>
      </c>
      <c r="B161" s="5" t="s">
        <v>485</v>
      </c>
      <c r="C161" s="5" t="s">
        <v>486</v>
      </c>
      <c r="D161" s="5" t="s">
        <v>15</v>
      </c>
      <c r="E161" s="2"/>
    </row>
    <row r="162" customFormat="false" ht="15.75" hidden="false" customHeight="false" outlineLevel="0" collapsed="false">
      <c r="A162" s="5" t="s">
        <v>487</v>
      </c>
      <c r="B162" s="5" t="s">
        <v>488</v>
      </c>
      <c r="C162" s="5" t="s">
        <v>187</v>
      </c>
      <c r="D162" s="5" t="s">
        <v>257</v>
      </c>
      <c r="E162" s="2"/>
    </row>
    <row r="163" customFormat="false" ht="15.75" hidden="false" customHeight="false" outlineLevel="0" collapsed="false">
      <c r="A163" s="5" t="s">
        <v>489</v>
      </c>
      <c r="B163" s="5" t="s">
        <v>490</v>
      </c>
      <c r="C163" s="5" t="s">
        <v>187</v>
      </c>
      <c r="D163" s="5" t="s">
        <v>345</v>
      </c>
      <c r="E163" s="2"/>
    </row>
    <row r="164" customFormat="false" ht="15.75" hidden="false" customHeight="false" outlineLevel="0" collapsed="false">
      <c r="A164" s="5" t="s">
        <v>491</v>
      </c>
      <c r="B164" s="5" t="s">
        <v>492</v>
      </c>
      <c r="C164" s="5" t="s">
        <v>180</v>
      </c>
      <c r="D164" s="5" t="s">
        <v>15</v>
      </c>
      <c r="E164" s="2"/>
    </row>
    <row r="165" customFormat="false" ht="15.75" hidden="false" customHeight="false" outlineLevel="0" collapsed="false">
      <c r="A165" s="5" t="s">
        <v>493</v>
      </c>
      <c r="B165" s="5" t="s">
        <v>494</v>
      </c>
      <c r="C165" s="5" t="s">
        <v>187</v>
      </c>
      <c r="D165" s="5" t="s">
        <v>202</v>
      </c>
      <c r="E165" s="2"/>
    </row>
    <row r="166" customFormat="false" ht="15.75" hidden="false" customHeight="false" outlineLevel="0" collapsed="false">
      <c r="A166" s="5" t="s">
        <v>495</v>
      </c>
      <c r="B166" s="5" t="s">
        <v>496</v>
      </c>
      <c r="C166" s="5" t="s">
        <v>180</v>
      </c>
      <c r="D166" s="5" t="s">
        <v>15</v>
      </c>
      <c r="E166" s="2"/>
    </row>
    <row r="167" customFormat="false" ht="15.75" hidden="false" customHeight="false" outlineLevel="0" collapsed="false">
      <c r="A167" s="5" t="s">
        <v>497</v>
      </c>
      <c r="B167" s="5" t="s">
        <v>498</v>
      </c>
      <c r="C167" s="5" t="s">
        <v>187</v>
      </c>
      <c r="D167" s="5" t="s">
        <v>202</v>
      </c>
      <c r="E167" s="2"/>
    </row>
    <row r="168" customFormat="false" ht="15.75" hidden="false" customHeight="false" outlineLevel="0" collapsed="false">
      <c r="A168" s="5" t="s">
        <v>499</v>
      </c>
      <c r="B168" s="5" t="s">
        <v>500</v>
      </c>
      <c r="C168" s="5" t="s">
        <v>187</v>
      </c>
      <c r="D168" s="5" t="s">
        <v>202</v>
      </c>
      <c r="E168" s="2"/>
    </row>
    <row r="169" customFormat="false" ht="15.75" hidden="false" customHeight="false" outlineLevel="0" collapsed="false">
      <c r="A169" s="5" t="s">
        <v>501</v>
      </c>
      <c r="B169" s="5" t="s">
        <v>502</v>
      </c>
      <c r="C169" s="5" t="s">
        <v>187</v>
      </c>
      <c r="D169" s="5" t="s">
        <v>257</v>
      </c>
      <c r="E169" s="2"/>
    </row>
    <row r="170" customFormat="false" ht="15.75" hidden="false" customHeight="false" outlineLevel="0" collapsed="false">
      <c r="A170" s="5" t="s">
        <v>503</v>
      </c>
      <c r="B170" s="5" t="s">
        <v>504</v>
      </c>
      <c r="C170" s="5" t="s">
        <v>187</v>
      </c>
      <c r="D170" s="5" t="s">
        <v>202</v>
      </c>
      <c r="E170" s="2"/>
    </row>
    <row r="171" customFormat="false" ht="15.75" hidden="false" customHeight="false" outlineLevel="0" collapsed="false">
      <c r="A171" s="5" t="s">
        <v>505</v>
      </c>
      <c r="B171" s="5" t="s">
        <v>506</v>
      </c>
      <c r="C171" s="5" t="s">
        <v>187</v>
      </c>
      <c r="D171" s="5" t="s">
        <v>202</v>
      </c>
      <c r="E171" s="2"/>
    </row>
    <row r="172" customFormat="false" ht="15.75" hidden="false" customHeight="false" outlineLevel="0" collapsed="false">
      <c r="A172" s="5" t="s">
        <v>507</v>
      </c>
      <c r="B172" s="5" t="s">
        <v>508</v>
      </c>
      <c r="C172" s="5" t="s">
        <v>180</v>
      </c>
      <c r="D172" s="5" t="s">
        <v>196</v>
      </c>
      <c r="E172" s="2"/>
    </row>
    <row r="173" customFormat="false" ht="15.75" hidden="false" customHeight="false" outlineLevel="0" collapsed="false">
      <c r="A173" s="5" t="s">
        <v>52</v>
      </c>
      <c r="B173" s="5" t="s">
        <v>53</v>
      </c>
      <c r="C173" s="5" t="s">
        <v>35</v>
      </c>
      <c r="D173" s="5" t="s">
        <v>15</v>
      </c>
      <c r="E173" s="2"/>
    </row>
    <row r="174" customFormat="false" ht="15.75" hidden="false" customHeight="false" outlineLevel="0" collapsed="false">
      <c r="A174" s="5" t="s">
        <v>509</v>
      </c>
      <c r="B174" s="5" t="s">
        <v>510</v>
      </c>
      <c r="C174" s="5" t="s">
        <v>187</v>
      </c>
      <c r="D174" s="5" t="s">
        <v>257</v>
      </c>
      <c r="E174" s="2"/>
    </row>
    <row r="175" customFormat="false" ht="15.75" hidden="false" customHeight="false" outlineLevel="0" collapsed="false">
      <c r="A175" s="5" t="s">
        <v>511</v>
      </c>
      <c r="B175" s="5" t="s">
        <v>512</v>
      </c>
      <c r="C175" s="5" t="s">
        <v>180</v>
      </c>
      <c r="D175" s="5" t="s">
        <v>15</v>
      </c>
      <c r="E175" s="2"/>
    </row>
    <row r="176" customFormat="false" ht="15.75" hidden="false" customHeight="false" outlineLevel="0" collapsed="false">
      <c r="A176" s="5" t="s">
        <v>513</v>
      </c>
      <c r="B176" s="5" t="s">
        <v>514</v>
      </c>
      <c r="C176" s="5" t="s">
        <v>287</v>
      </c>
      <c r="D176" s="5" t="s">
        <v>208</v>
      </c>
      <c r="E176" s="2"/>
    </row>
    <row r="177" customFormat="false" ht="15.75" hidden="false" customHeight="false" outlineLevel="0" collapsed="false">
      <c r="A177" s="5" t="s">
        <v>515</v>
      </c>
      <c r="B177" s="5" t="s">
        <v>516</v>
      </c>
      <c r="C177" s="5" t="s">
        <v>187</v>
      </c>
      <c r="D177" s="5" t="s">
        <v>196</v>
      </c>
      <c r="E177" s="2"/>
    </row>
    <row r="178" customFormat="false" ht="15.75" hidden="false" customHeight="false" outlineLevel="0" collapsed="false">
      <c r="A178" s="5" t="s">
        <v>517</v>
      </c>
      <c r="B178" s="5" t="s">
        <v>518</v>
      </c>
      <c r="C178" s="5" t="s">
        <v>187</v>
      </c>
      <c r="D178" s="5" t="s">
        <v>188</v>
      </c>
      <c r="E178" s="2"/>
    </row>
    <row r="179" customFormat="false" ht="15.75" hidden="false" customHeight="false" outlineLevel="0" collapsed="false">
      <c r="A179" s="5" t="s">
        <v>519</v>
      </c>
      <c r="B179" s="5" t="s">
        <v>520</v>
      </c>
      <c r="C179" s="5" t="s">
        <v>18</v>
      </c>
      <c r="D179" s="5" t="s">
        <v>15</v>
      </c>
      <c r="E179" s="2"/>
    </row>
    <row r="180" customFormat="false" ht="15.75" hidden="false" customHeight="false" outlineLevel="0" collapsed="false">
      <c r="A180" s="5" t="s">
        <v>521</v>
      </c>
      <c r="B180" s="5" t="s">
        <v>522</v>
      </c>
      <c r="C180" s="5" t="s">
        <v>187</v>
      </c>
      <c r="D180" s="5" t="s">
        <v>202</v>
      </c>
      <c r="E180" s="2"/>
    </row>
    <row r="181" customFormat="false" ht="15.75" hidden="false" customHeight="false" outlineLevel="0" collapsed="false">
      <c r="A181" s="5" t="s">
        <v>523</v>
      </c>
      <c r="B181" s="5" t="s">
        <v>524</v>
      </c>
      <c r="C181" s="5" t="s">
        <v>187</v>
      </c>
      <c r="D181" s="5" t="s">
        <v>208</v>
      </c>
      <c r="E181" s="2"/>
    </row>
    <row r="182" customFormat="false" ht="15.75" hidden="false" customHeight="false" outlineLevel="0" collapsed="false">
      <c r="A182" s="5" t="s">
        <v>525</v>
      </c>
      <c r="B182" s="5" t="s">
        <v>526</v>
      </c>
      <c r="C182" s="5" t="s">
        <v>187</v>
      </c>
      <c r="D182" s="5" t="s">
        <v>202</v>
      </c>
      <c r="E182" s="2"/>
    </row>
    <row r="183" customFormat="false" ht="15.75" hidden="false" customHeight="false" outlineLevel="0" collapsed="false">
      <c r="A183" s="5" t="s">
        <v>527</v>
      </c>
      <c r="B183" s="5" t="s">
        <v>528</v>
      </c>
      <c r="C183" s="5" t="s">
        <v>187</v>
      </c>
      <c r="D183" s="5" t="s">
        <v>196</v>
      </c>
      <c r="E183" s="2"/>
    </row>
    <row r="184" customFormat="false" ht="15.75" hidden="false" customHeight="false" outlineLevel="0" collapsed="false">
      <c r="A184" s="5" t="s">
        <v>529</v>
      </c>
      <c r="B184" s="5" t="s">
        <v>530</v>
      </c>
      <c r="C184" s="5" t="s">
        <v>187</v>
      </c>
      <c r="D184" s="5" t="s">
        <v>196</v>
      </c>
      <c r="E184" s="2"/>
    </row>
    <row r="185" customFormat="false" ht="15.75" hidden="false" customHeight="false" outlineLevel="0" collapsed="false">
      <c r="A185" s="5" t="s">
        <v>531</v>
      </c>
      <c r="B185" s="5" t="s">
        <v>532</v>
      </c>
      <c r="C185" s="5" t="s">
        <v>187</v>
      </c>
      <c r="D185" s="5" t="s">
        <v>202</v>
      </c>
      <c r="E185" s="2"/>
    </row>
    <row r="186" customFormat="false" ht="15.75" hidden="false" customHeight="false" outlineLevel="0" collapsed="false">
      <c r="A186" s="5" t="s">
        <v>533</v>
      </c>
      <c r="B186" s="5" t="s">
        <v>534</v>
      </c>
      <c r="C186" s="5" t="s">
        <v>187</v>
      </c>
      <c r="D186" s="5" t="s">
        <v>202</v>
      </c>
      <c r="E186" s="2"/>
    </row>
    <row r="187" customFormat="false" ht="15.75" hidden="false" customHeight="false" outlineLevel="0" collapsed="false">
      <c r="A187" s="5" t="s">
        <v>535</v>
      </c>
      <c r="B187" s="5" t="s">
        <v>536</v>
      </c>
      <c r="C187" s="5" t="s">
        <v>187</v>
      </c>
      <c r="D187" s="5" t="s">
        <v>202</v>
      </c>
      <c r="E187" s="2"/>
    </row>
    <row r="188" customFormat="false" ht="15.75" hidden="false" customHeight="false" outlineLevel="0" collapsed="false">
      <c r="A188" s="5" t="s">
        <v>537</v>
      </c>
      <c r="B188" s="5" t="s">
        <v>538</v>
      </c>
      <c r="C188" s="5" t="s">
        <v>187</v>
      </c>
      <c r="D188" s="5" t="s">
        <v>196</v>
      </c>
      <c r="E188" s="2"/>
    </row>
    <row r="189" customFormat="false" ht="15.75" hidden="false" customHeight="false" outlineLevel="0" collapsed="false">
      <c r="A189" s="5" t="s">
        <v>539</v>
      </c>
      <c r="B189" s="5" t="s">
        <v>540</v>
      </c>
      <c r="C189" s="5" t="s">
        <v>266</v>
      </c>
      <c r="D189" s="5" t="s">
        <v>196</v>
      </c>
      <c r="E189" s="2"/>
    </row>
    <row r="190" customFormat="false" ht="15.75" hidden="false" customHeight="false" outlineLevel="0" collapsed="false">
      <c r="A190" s="5" t="s">
        <v>541</v>
      </c>
      <c r="B190" s="5" t="s">
        <v>542</v>
      </c>
      <c r="C190" s="5" t="s">
        <v>187</v>
      </c>
      <c r="D190" s="5" t="s">
        <v>202</v>
      </c>
      <c r="E190" s="2"/>
    </row>
    <row r="191" customFormat="false" ht="15.75" hidden="false" customHeight="false" outlineLevel="0" collapsed="false">
      <c r="A191" s="5" t="s">
        <v>543</v>
      </c>
      <c r="B191" s="5" t="s">
        <v>544</v>
      </c>
      <c r="C191" s="5" t="s">
        <v>187</v>
      </c>
      <c r="D191" s="5" t="s">
        <v>202</v>
      </c>
      <c r="E191" s="2"/>
    </row>
    <row r="192" customFormat="false" ht="15.75" hidden="false" customHeight="false" outlineLevel="0" collapsed="false">
      <c r="A192" s="5" t="s">
        <v>545</v>
      </c>
      <c r="B192" s="5" t="s">
        <v>546</v>
      </c>
      <c r="C192" s="5" t="s">
        <v>187</v>
      </c>
      <c r="D192" s="5" t="s">
        <v>202</v>
      </c>
      <c r="E192" s="2"/>
    </row>
    <row r="193" customFormat="false" ht="15.75" hidden="false" customHeight="false" outlineLevel="0" collapsed="false">
      <c r="A193" s="5" t="s">
        <v>547</v>
      </c>
      <c r="B193" s="5" t="s">
        <v>548</v>
      </c>
      <c r="C193" s="5" t="s">
        <v>187</v>
      </c>
      <c r="D193" s="5" t="s">
        <v>208</v>
      </c>
      <c r="E193" s="2"/>
    </row>
    <row r="194" customFormat="false" ht="15.75" hidden="false" customHeight="false" outlineLevel="0" collapsed="false">
      <c r="A194" s="5" t="s">
        <v>549</v>
      </c>
      <c r="B194" s="5" t="s">
        <v>550</v>
      </c>
      <c r="C194" s="5" t="s">
        <v>35</v>
      </c>
      <c r="D194" s="5" t="s">
        <v>15</v>
      </c>
      <c r="E194" s="2"/>
    </row>
    <row r="195" customFormat="false" ht="15.75" hidden="false" customHeight="false" outlineLevel="0" collapsed="false">
      <c r="A195" s="5" t="s">
        <v>551</v>
      </c>
      <c r="B195" s="5" t="s">
        <v>552</v>
      </c>
      <c r="C195" s="5" t="s">
        <v>180</v>
      </c>
      <c r="D195" s="5" t="s">
        <v>199</v>
      </c>
      <c r="E195" s="2"/>
    </row>
    <row r="196" customFormat="false" ht="15.75" hidden="false" customHeight="false" outlineLevel="0" collapsed="false">
      <c r="A196" s="5" t="s">
        <v>553</v>
      </c>
      <c r="B196" s="5" t="s">
        <v>554</v>
      </c>
      <c r="C196" s="5" t="s">
        <v>183</v>
      </c>
      <c r="D196" s="5" t="s">
        <v>184</v>
      </c>
      <c r="E196" s="2"/>
    </row>
    <row r="197" customFormat="false" ht="15.75" hidden="false" customHeight="false" outlineLevel="0" collapsed="false">
      <c r="A197" s="5" t="s">
        <v>54</v>
      </c>
      <c r="B197" s="5" t="s">
        <v>55</v>
      </c>
      <c r="C197" s="5" t="s">
        <v>35</v>
      </c>
      <c r="D197" s="5" t="s">
        <v>15</v>
      </c>
      <c r="E197" s="2"/>
    </row>
    <row r="198" customFormat="false" ht="15.75" hidden="false" customHeight="false" outlineLevel="0" collapsed="false">
      <c r="A198" s="5" t="s">
        <v>555</v>
      </c>
      <c r="B198" s="5" t="s">
        <v>556</v>
      </c>
      <c r="C198" s="5" t="s">
        <v>187</v>
      </c>
      <c r="D198" s="5" t="s">
        <v>202</v>
      </c>
      <c r="E198" s="2"/>
    </row>
    <row r="199" customFormat="false" ht="15.75" hidden="false" customHeight="false" outlineLevel="0" collapsed="false">
      <c r="A199" s="5" t="s">
        <v>557</v>
      </c>
      <c r="B199" s="5" t="s">
        <v>558</v>
      </c>
      <c r="C199" s="5" t="s">
        <v>187</v>
      </c>
      <c r="D199" s="5" t="s">
        <v>202</v>
      </c>
      <c r="E199" s="2"/>
    </row>
    <row r="200" customFormat="false" ht="15.75" hidden="false" customHeight="false" outlineLevel="0" collapsed="false">
      <c r="A200" s="5" t="s">
        <v>559</v>
      </c>
      <c r="B200" s="5" t="s">
        <v>560</v>
      </c>
      <c r="C200" s="5" t="s">
        <v>287</v>
      </c>
      <c r="D200" s="5" t="s">
        <v>208</v>
      </c>
      <c r="E200" s="2"/>
    </row>
    <row r="201" customFormat="false" ht="15.75" hidden="false" customHeight="false" outlineLevel="0" collapsed="false">
      <c r="A201" s="5" t="s">
        <v>561</v>
      </c>
      <c r="B201" s="5" t="s">
        <v>562</v>
      </c>
      <c r="C201" s="5" t="s">
        <v>479</v>
      </c>
      <c r="D201" s="5" t="s">
        <v>15</v>
      </c>
      <c r="E201" s="2"/>
    </row>
    <row r="202" customFormat="false" ht="15.75" hidden="false" customHeight="false" outlineLevel="0" collapsed="false">
      <c r="A202" s="5" t="s">
        <v>563</v>
      </c>
      <c r="B202" s="5" t="s">
        <v>564</v>
      </c>
      <c r="C202" s="5" t="s">
        <v>236</v>
      </c>
      <c r="D202" s="5" t="s">
        <v>184</v>
      </c>
      <c r="E202" s="2"/>
    </row>
    <row r="203" customFormat="false" ht="15.75" hidden="false" customHeight="false" outlineLevel="0" collapsed="false">
      <c r="A203" s="5" t="s">
        <v>56</v>
      </c>
      <c r="B203" s="5" t="s">
        <v>57</v>
      </c>
      <c r="C203" s="5" t="s">
        <v>35</v>
      </c>
      <c r="D203" s="5" t="s">
        <v>15</v>
      </c>
      <c r="E203" s="2"/>
    </row>
    <row r="204" customFormat="false" ht="15.75" hidden="false" customHeight="false" outlineLevel="0" collapsed="false">
      <c r="A204" s="5" t="s">
        <v>565</v>
      </c>
      <c r="B204" s="5" t="s">
        <v>566</v>
      </c>
      <c r="C204" s="5" t="s">
        <v>187</v>
      </c>
      <c r="D204" s="5" t="s">
        <v>202</v>
      </c>
      <c r="E204" s="2"/>
    </row>
    <row r="205" customFormat="false" ht="15.75" hidden="false" customHeight="false" outlineLevel="0" collapsed="false">
      <c r="A205" s="5" t="s">
        <v>567</v>
      </c>
      <c r="B205" s="5" t="s">
        <v>568</v>
      </c>
      <c r="C205" s="5" t="s">
        <v>180</v>
      </c>
      <c r="D205" s="5" t="s">
        <v>196</v>
      </c>
      <c r="E205" s="2"/>
    </row>
    <row r="206" customFormat="false" ht="15.75" hidden="false" customHeight="false" outlineLevel="0" collapsed="false">
      <c r="A206" s="5" t="s">
        <v>569</v>
      </c>
      <c r="B206" s="5" t="s">
        <v>570</v>
      </c>
      <c r="C206" s="5" t="s">
        <v>215</v>
      </c>
      <c r="D206" s="5" t="s">
        <v>184</v>
      </c>
      <c r="E206" s="2"/>
    </row>
    <row r="207" customFormat="false" ht="15.75" hidden="false" customHeight="false" outlineLevel="0" collapsed="false">
      <c r="A207" s="5" t="s">
        <v>571</v>
      </c>
      <c r="B207" s="5" t="s">
        <v>572</v>
      </c>
      <c r="C207" s="5" t="s">
        <v>187</v>
      </c>
      <c r="D207" s="5" t="s">
        <v>257</v>
      </c>
      <c r="E207" s="2"/>
    </row>
    <row r="208" customFormat="false" ht="15.75" hidden="false" customHeight="false" outlineLevel="0" collapsed="false">
      <c r="A208" s="5" t="s">
        <v>573</v>
      </c>
      <c r="B208" s="5" t="s">
        <v>574</v>
      </c>
      <c r="C208" s="5" t="s">
        <v>180</v>
      </c>
      <c r="D208" s="5" t="s">
        <v>15</v>
      </c>
      <c r="E208" s="2"/>
    </row>
    <row r="209" customFormat="false" ht="15.75" hidden="false" customHeight="false" outlineLevel="0" collapsed="false">
      <c r="A209" s="5" t="s">
        <v>575</v>
      </c>
      <c r="B209" s="5" t="s">
        <v>576</v>
      </c>
      <c r="C209" s="5" t="s">
        <v>180</v>
      </c>
      <c r="D209" s="5" t="s">
        <v>196</v>
      </c>
      <c r="E209" s="2"/>
    </row>
    <row r="210" customFormat="false" ht="15.75" hidden="false" customHeight="false" outlineLevel="0" collapsed="false">
      <c r="A210" s="5" t="s">
        <v>577</v>
      </c>
      <c r="B210" s="5" t="s">
        <v>578</v>
      </c>
      <c r="C210" s="5" t="s">
        <v>180</v>
      </c>
      <c r="D210" s="5" t="s">
        <v>15</v>
      </c>
      <c r="E210" s="2"/>
    </row>
    <row r="211" customFormat="false" ht="15.75" hidden="false" customHeight="false" outlineLevel="0" collapsed="false">
      <c r="A211" s="5" t="s">
        <v>579</v>
      </c>
      <c r="B211" s="5" t="s">
        <v>580</v>
      </c>
      <c r="C211" s="5" t="s">
        <v>187</v>
      </c>
      <c r="D211" s="5" t="s">
        <v>202</v>
      </c>
      <c r="E211" s="2"/>
    </row>
    <row r="212" customFormat="false" ht="15.75" hidden="false" customHeight="false" outlineLevel="0" collapsed="false">
      <c r="A212" s="5" t="s">
        <v>581</v>
      </c>
      <c r="B212" s="5" t="s">
        <v>582</v>
      </c>
      <c r="C212" s="5" t="s">
        <v>187</v>
      </c>
      <c r="D212" s="5" t="s">
        <v>257</v>
      </c>
      <c r="E212" s="2"/>
    </row>
    <row r="213" customFormat="false" ht="15.75" hidden="false" customHeight="false" outlineLevel="0" collapsed="false">
      <c r="A213" s="5" t="s">
        <v>58</v>
      </c>
      <c r="B213" s="5" t="s">
        <v>59</v>
      </c>
      <c r="C213" s="5" t="s">
        <v>35</v>
      </c>
      <c r="D213" s="5" t="s">
        <v>15</v>
      </c>
      <c r="E213" s="2"/>
    </row>
    <row r="214" customFormat="false" ht="15.75" hidden="false" customHeight="false" outlineLevel="0" collapsed="false">
      <c r="A214" s="5" t="s">
        <v>583</v>
      </c>
      <c r="B214" s="5" t="s">
        <v>584</v>
      </c>
      <c r="C214" s="5" t="s">
        <v>187</v>
      </c>
      <c r="D214" s="5" t="s">
        <v>202</v>
      </c>
      <c r="E214" s="2"/>
    </row>
    <row r="215" customFormat="false" ht="15.75" hidden="false" customHeight="false" outlineLevel="0" collapsed="false">
      <c r="A215" s="5" t="s">
        <v>585</v>
      </c>
      <c r="B215" s="5" t="s">
        <v>586</v>
      </c>
      <c r="C215" s="5" t="s">
        <v>287</v>
      </c>
      <c r="D215" s="5" t="s">
        <v>208</v>
      </c>
      <c r="E215" s="2"/>
    </row>
    <row r="216" customFormat="false" ht="15.75" hidden="false" customHeight="false" outlineLevel="0" collapsed="false">
      <c r="A216" s="5" t="s">
        <v>587</v>
      </c>
      <c r="B216" s="5" t="s">
        <v>588</v>
      </c>
      <c r="C216" s="5" t="s">
        <v>187</v>
      </c>
      <c r="D216" s="5" t="s">
        <v>202</v>
      </c>
      <c r="E216" s="2"/>
    </row>
    <row r="217" customFormat="false" ht="15.75" hidden="false" customHeight="false" outlineLevel="0" collapsed="false">
      <c r="A217" s="5" t="s">
        <v>589</v>
      </c>
      <c r="B217" s="5" t="s">
        <v>590</v>
      </c>
      <c r="C217" s="5" t="s">
        <v>180</v>
      </c>
      <c r="D217" s="5" t="s">
        <v>15</v>
      </c>
      <c r="E217" s="2"/>
    </row>
    <row r="218" customFormat="false" ht="15.75" hidden="false" customHeight="false" outlineLevel="0" collapsed="false">
      <c r="A218" s="5" t="s">
        <v>591</v>
      </c>
      <c r="B218" s="5" t="s">
        <v>592</v>
      </c>
      <c r="C218" s="5" t="s">
        <v>187</v>
      </c>
      <c r="D218" s="5" t="s">
        <v>202</v>
      </c>
      <c r="E218" s="2"/>
    </row>
    <row r="219" customFormat="false" ht="15.75" hidden="false" customHeight="false" outlineLevel="0" collapsed="false">
      <c r="A219" s="5" t="s">
        <v>593</v>
      </c>
      <c r="B219" s="5" t="s">
        <v>594</v>
      </c>
      <c r="C219" s="5" t="s">
        <v>187</v>
      </c>
      <c r="D219" s="5" t="s">
        <v>196</v>
      </c>
      <c r="E219" s="2"/>
    </row>
    <row r="220" customFormat="false" ht="15.75" hidden="false" customHeight="false" outlineLevel="0" collapsed="false">
      <c r="A220" s="5" t="s">
        <v>60</v>
      </c>
      <c r="B220" s="5" t="s">
        <v>61</v>
      </c>
      <c r="C220" s="5" t="s">
        <v>35</v>
      </c>
      <c r="D220" s="5" t="s">
        <v>15</v>
      </c>
      <c r="E220" s="2"/>
    </row>
    <row r="221" customFormat="false" ht="15.75" hidden="false" customHeight="false" outlineLevel="0" collapsed="false">
      <c r="A221" s="5" t="s">
        <v>62</v>
      </c>
      <c r="B221" s="5" t="s">
        <v>63</v>
      </c>
      <c r="C221" s="5" t="s">
        <v>35</v>
      </c>
      <c r="D221" s="5" t="s">
        <v>15</v>
      </c>
      <c r="E221" s="2"/>
    </row>
    <row r="222" customFormat="false" ht="15.75" hidden="false" customHeight="false" outlineLevel="0" collapsed="false">
      <c r="A222" s="5" t="s">
        <v>595</v>
      </c>
      <c r="B222" s="5" t="s">
        <v>596</v>
      </c>
      <c r="C222" s="5" t="s">
        <v>187</v>
      </c>
      <c r="D222" s="5" t="s">
        <v>257</v>
      </c>
      <c r="E222" s="2"/>
    </row>
    <row r="223" customFormat="false" ht="15.75" hidden="false" customHeight="false" outlineLevel="0" collapsed="false">
      <c r="A223" s="5" t="s">
        <v>597</v>
      </c>
      <c r="B223" s="5" t="s">
        <v>598</v>
      </c>
      <c r="C223" s="5" t="s">
        <v>187</v>
      </c>
      <c r="D223" s="5" t="s">
        <v>345</v>
      </c>
      <c r="E223" s="2"/>
    </row>
    <row r="224" customFormat="false" ht="15.75" hidden="false" customHeight="false" outlineLevel="0" collapsed="false">
      <c r="A224" s="5" t="s">
        <v>599</v>
      </c>
      <c r="B224" s="5" t="s">
        <v>600</v>
      </c>
      <c r="C224" s="5" t="s">
        <v>187</v>
      </c>
      <c r="D224" s="5" t="s">
        <v>202</v>
      </c>
      <c r="E224" s="2"/>
    </row>
    <row r="225" customFormat="false" ht="15.75" hidden="false" customHeight="false" outlineLevel="0" collapsed="false">
      <c r="A225" s="5" t="s">
        <v>601</v>
      </c>
      <c r="B225" s="5" t="s">
        <v>602</v>
      </c>
      <c r="C225" s="5" t="s">
        <v>187</v>
      </c>
      <c r="D225" s="5" t="s">
        <v>188</v>
      </c>
      <c r="E225" s="2"/>
    </row>
    <row r="226" customFormat="false" ht="15.75" hidden="false" customHeight="false" outlineLevel="0" collapsed="false">
      <c r="A226" s="5" t="s">
        <v>603</v>
      </c>
      <c r="B226" s="5" t="s">
        <v>604</v>
      </c>
      <c r="C226" s="5" t="s">
        <v>183</v>
      </c>
      <c r="D226" s="5" t="s">
        <v>184</v>
      </c>
      <c r="E226" s="2"/>
    </row>
    <row r="227" customFormat="false" ht="15.75" hidden="false" customHeight="false" outlineLevel="0" collapsed="false">
      <c r="A227" s="5" t="s">
        <v>605</v>
      </c>
      <c r="B227" s="5" t="s">
        <v>606</v>
      </c>
      <c r="C227" s="5" t="s">
        <v>187</v>
      </c>
      <c r="D227" s="5" t="s">
        <v>202</v>
      </c>
      <c r="E227" s="2"/>
    </row>
    <row r="228" customFormat="false" ht="15.75" hidden="false" customHeight="false" outlineLevel="0" collapsed="false">
      <c r="A228" s="5" t="s">
        <v>607</v>
      </c>
      <c r="B228" s="5" t="s">
        <v>608</v>
      </c>
      <c r="C228" s="5" t="s">
        <v>187</v>
      </c>
      <c r="D228" s="5" t="s">
        <v>202</v>
      </c>
      <c r="E228" s="2"/>
    </row>
    <row r="229" customFormat="false" ht="15.75" hidden="false" customHeight="false" outlineLevel="0" collapsed="false">
      <c r="A229" s="5" t="s">
        <v>609</v>
      </c>
      <c r="B229" s="5" t="s">
        <v>610</v>
      </c>
      <c r="C229" s="5" t="s">
        <v>187</v>
      </c>
      <c r="D229" s="5" t="s">
        <v>257</v>
      </c>
      <c r="E229" s="2"/>
    </row>
    <row r="230" customFormat="false" ht="15.75" hidden="false" customHeight="false" outlineLevel="0" collapsed="false">
      <c r="A230" s="5" t="s">
        <v>611</v>
      </c>
      <c r="B230" s="5" t="s">
        <v>612</v>
      </c>
      <c r="C230" s="5" t="s">
        <v>187</v>
      </c>
      <c r="D230" s="5" t="s">
        <v>257</v>
      </c>
      <c r="E230" s="2"/>
    </row>
    <row r="231" customFormat="false" ht="15.75" hidden="false" customHeight="false" outlineLevel="0" collapsed="false">
      <c r="A231" s="5" t="s">
        <v>613</v>
      </c>
      <c r="B231" s="5" t="s">
        <v>614</v>
      </c>
      <c r="C231" s="5" t="s">
        <v>187</v>
      </c>
      <c r="D231" s="5" t="s">
        <v>345</v>
      </c>
      <c r="E231" s="2"/>
    </row>
    <row r="232" customFormat="false" ht="15.75" hidden="false" customHeight="false" outlineLevel="0" collapsed="false">
      <c r="A232" s="5" t="s">
        <v>615</v>
      </c>
      <c r="B232" s="5" t="s">
        <v>616</v>
      </c>
      <c r="C232" s="5" t="s">
        <v>187</v>
      </c>
      <c r="D232" s="5" t="s">
        <v>202</v>
      </c>
      <c r="E232" s="2"/>
    </row>
    <row r="233" customFormat="false" ht="15.75" hidden="false" customHeight="false" outlineLevel="0" collapsed="false">
      <c r="A233" s="5" t="s">
        <v>617</v>
      </c>
      <c r="B233" s="5" t="s">
        <v>618</v>
      </c>
      <c r="C233" s="5" t="s">
        <v>187</v>
      </c>
      <c r="D233" s="5" t="s">
        <v>188</v>
      </c>
      <c r="E233" s="2"/>
    </row>
    <row r="234" customFormat="false" ht="15.75" hidden="false" customHeight="false" outlineLevel="0" collapsed="false">
      <c r="A234" s="5" t="s">
        <v>619</v>
      </c>
      <c r="B234" s="5" t="s">
        <v>620</v>
      </c>
      <c r="C234" s="5" t="s">
        <v>187</v>
      </c>
      <c r="D234" s="5" t="s">
        <v>202</v>
      </c>
      <c r="E234" s="2"/>
    </row>
    <row r="235" customFormat="false" ht="15.75" hidden="false" customHeight="false" outlineLevel="0" collapsed="false">
      <c r="A235" s="5" t="s">
        <v>621</v>
      </c>
      <c r="B235" s="5" t="s">
        <v>622</v>
      </c>
      <c r="C235" s="5" t="s">
        <v>187</v>
      </c>
      <c r="D235" s="5" t="s">
        <v>196</v>
      </c>
      <c r="E235" s="2"/>
    </row>
    <row r="236" customFormat="false" ht="15.75" hidden="false" customHeight="false" outlineLevel="0" collapsed="false">
      <c r="A236" s="5" t="s">
        <v>623</v>
      </c>
      <c r="B236" s="5" t="s">
        <v>624</v>
      </c>
      <c r="C236" s="5" t="s">
        <v>287</v>
      </c>
      <c r="D236" s="5" t="s">
        <v>208</v>
      </c>
      <c r="E236" s="2"/>
    </row>
    <row r="237" customFormat="false" ht="15.75" hidden="false" customHeight="false" outlineLevel="0" collapsed="false">
      <c r="A237" s="5" t="s">
        <v>625</v>
      </c>
      <c r="B237" s="5" t="s">
        <v>626</v>
      </c>
      <c r="C237" s="5" t="s">
        <v>627</v>
      </c>
      <c r="D237" s="5" t="s">
        <v>15</v>
      </c>
      <c r="E237" s="2"/>
    </row>
    <row r="238" customFormat="false" ht="15.75" hidden="false" customHeight="false" outlineLevel="0" collapsed="false">
      <c r="A238" s="5" t="s">
        <v>628</v>
      </c>
      <c r="B238" s="5" t="s">
        <v>629</v>
      </c>
      <c r="C238" s="5" t="s">
        <v>187</v>
      </c>
      <c r="D238" s="5" t="s">
        <v>202</v>
      </c>
      <c r="E238" s="2"/>
    </row>
    <row r="239" customFormat="false" ht="15.75" hidden="false" customHeight="false" outlineLevel="0" collapsed="false">
      <c r="A239" s="5" t="s">
        <v>64</v>
      </c>
      <c r="B239" s="5" t="s">
        <v>65</v>
      </c>
      <c r="C239" s="5" t="s">
        <v>35</v>
      </c>
      <c r="D239" s="5" t="s">
        <v>15</v>
      </c>
      <c r="E239" s="2"/>
    </row>
    <row r="240" customFormat="false" ht="15.75" hidden="false" customHeight="false" outlineLevel="0" collapsed="false">
      <c r="A240" s="5" t="s">
        <v>64</v>
      </c>
      <c r="B240" s="5" t="s">
        <v>66</v>
      </c>
      <c r="C240" s="5" t="s">
        <v>35</v>
      </c>
      <c r="D240" s="5" t="s">
        <v>15</v>
      </c>
      <c r="E240" s="2"/>
    </row>
    <row r="241" customFormat="false" ht="15.75" hidden="false" customHeight="false" outlineLevel="0" collapsed="false">
      <c r="A241" s="5" t="s">
        <v>67</v>
      </c>
      <c r="B241" s="5" t="s">
        <v>68</v>
      </c>
      <c r="C241" s="5" t="s">
        <v>35</v>
      </c>
      <c r="D241" s="5" t="s">
        <v>15</v>
      </c>
      <c r="E241" s="2"/>
    </row>
    <row r="242" customFormat="false" ht="15.75" hidden="false" customHeight="false" outlineLevel="0" collapsed="false">
      <c r="A242" s="5" t="s">
        <v>630</v>
      </c>
      <c r="B242" s="5" t="s">
        <v>631</v>
      </c>
      <c r="C242" s="5" t="s">
        <v>187</v>
      </c>
      <c r="D242" s="5" t="s">
        <v>257</v>
      </c>
      <c r="E242" s="2"/>
    </row>
    <row r="243" customFormat="false" ht="15.75" hidden="false" customHeight="false" outlineLevel="0" collapsed="false">
      <c r="A243" s="5" t="s">
        <v>632</v>
      </c>
      <c r="B243" s="5" t="s">
        <v>633</v>
      </c>
      <c r="C243" s="5" t="s">
        <v>187</v>
      </c>
      <c r="D243" s="5" t="s">
        <v>188</v>
      </c>
      <c r="E243" s="2"/>
    </row>
    <row r="244" customFormat="false" ht="15.75" hidden="false" customHeight="false" outlineLevel="0" collapsed="false">
      <c r="A244" s="5" t="s">
        <v>634</v>
      </c>
      <c r="B244" s="5" t="s">
        <v>635</v>
      </c>
      <c r="C244" s="5" t="s">
        <v>187</v>
      </c>
      <c r="D244" s="5" t="s">
        <v>345</v>
      </c>
      <c r="E244" s="2"/>
    </row>
    <row r="245" customFormat="false" ht="15.75" hidden="false" customHeight="false" outlineLevel="0" collapsed="false">
      <c r="A245" s="5" t="s">
        <v>636</v>
      </c>
      <c r="B245" s="5" t="s">
        <v>637</v>
      </c>
      <c r="C245" s="5" t="s">
        <v>187</v>
      </c>
      <c r="D245" s="5" t="s">
        <v>257</v>
      </c>
      <c r="E245" s="2"/>
    </row>
    <row r="246" customFormat="false" ht="15.75" hidden="false" customHeight="false" outlineLevel="0" collapsed="false">
      <c r="A246" s="5" t="s">
        <v>638</v>
      </c>
      <c r="B246" s="5" t="s">
        <v>639</v>
      </c>
      <c r="C246" s="5" t="s">
        <v>236</v>
      </c>
      <c r="D246" s="5" t="s">
        <v>184</v>
      </c>
      <c r="E246" s="2"/>
    </row>
    <row r="247" customFormat="false" ht="15.75" hidden="false" customHeight="false" outlineLevel="0" collapsed="false">
      <c r="A247" s="5" t="s">
        <v>640</v>
      </c>
      <c r="B247" s="5" t="s">
        <v>641</v>
      </c>
      <c r="C247" s="5" t="s">
        <v>215</v>
      </c>
      <c r="D247" s="5" t="s">
        <v>208</v>
      </c>
      <c r="E247" s="2"/>
    </row>
    <row r="248" customFormat="false" ht="15.75" hidden="false" customHeight="false" outlineLevel="0" collapsed="false">
      <c r="A248" s="5" t="s">
        <v>642</v>
      </c>
      <c r="B248" s="5" t="s">
        <v>643</v>
      </c>
      <c r="C248" s="5" t="s">
        <v>187</v>
      </c>
      <c r="D248" s="5" t="s">
        <v>208</v>
      </c>
      <c r="E248" s="2"/>
    </row>
    <row r="249" customFormat="false" ht="15.75" hidden="false" customHeight="false" outlineLevel="0" collapsed="false">
      <c r="A249" s="5" t="s">
        <v>644</v>
      </c>
      <c r="B249" s="5" t="s">
        <v>645</v>
      </c>
      <c r="C249" s="5" t="s">
        <v>187</v>
      </c>
      <c r="D249" s="5" t="s">
        <v>184</v>
      </c>
      <c r="E249" s="2"/>
    </row>
    <row r="250" customFormat="false" ht="15.75" hidden="false" customHeight="false" outlineLevel="0" collapsed="false">
      <c r="A250" s="5" t="s">
        <v>646</v>
      </c>
      <c r="B250" s="5" t="s">
        <v>647</v>
      </c>
      <c r="C250" s="5" t="s">
        <v>236</v>
      </c>
      <c r="D250" s="5" t="s">
        <v>184</v>
      </c>
      <c r="E250" s="2"/>
    </row>
    <row r="251" customFormat="false" ht="15.75" hidden="false" customHeight="false" outlineLevel="0" collapsed="false">
      <c r="A251" s="5" t="s">
        <v>648</v>
      </c>
      <c r="B251" s="5" t="s">
        <v>649</v>
      </c>
      <c r="C251" s="5" t="s">
        <v>187</v>
      </c>
      <c r="D251" s="5" t="s">
        <v>188</v>
      </c>
      <c r="E251" s="2"/>
    </row>
    <row r="252" customFormat="false" ht="15.75" hidden="false" customHeight="false" outlineLevel="0" collapsed="false">
      <c r="A252" s="5" t="s">
        <v>650</v>
      </c>
      <c r="B252" s="5" t="s">
        <v>651</v>
      </c>
      <c r="C252" s="5" t="s">
        <v>266</v>
      </c>
      <c r="D252" s="5" t="s">
        <v>196</v>
      </c>
      <c r="E252" s="2"/>
    </row>
    <row r="253" customFormat="false" ht="15.75" hidden="false" customHeight="false" outlineLevel="0" collapsed="false">
      <c r="A253" s="5" t="s">
        <v>652</v>
      </c>
      <c r="B253" s="5" t="s">
        <v>653</v>
      </c>
      <c r="C253" s="5" t="s">
        <v>187</v>
      </c>
      <c r="D253" s="5" t="s">
        <v>188</v>
      </c>
      <c r="E253" s="2"/>
    </row>
    <row r="254" customFormat="false" ht="15.75" hidden="false" customHeight="false" outlineLevel="0" collapsed="false">
      <c r="A254" s="5" t="s">
        <v>654</v>
      </c>
      <c r="B254" s="5" t="s">
        <v>655</v>
      </c>
      <c r="C254" s="5" t="s">
        <v>187</v>
      </c>
      <c r="D254" s="5" t="s">
        <v>188</v>
      </c>
      <c r="E254" s="2"/>
    </row>
    <row r="255" customFormat="false" ht="15.75" hidden="false" customHeight="false" outlineLevel="0" collapsed="false">
      <c r="A255" s="5" t="s">
        <v>656</v>
      </c>
      <c r="B255" s="5" t="s">
        <v>657</v>
      </c>
      <c r="C255" s="5" t="s">
        <v>35</v>
      </c>
      <c r="D255" s="5" t="s">
        <v>15</v>
      </c>
      <c r="E255" s="2"/>
    </row>
    <row r="256" customFormat="false" ht="15.75" hidden="false" customHeight="false" outlineLevel="0" collapsed="false">
      <c r="A256" s="5" t="s">
        <v>658</v>
      </c>
      <c r="B256" s="5" t="s">
        <v>659</v>
      </c>
      <c r="C256" s="5" t="s">
        <v>187</v>
      </c>
      <c r="D256" s="5" t="s">
        <v>196</v>
      </c>
      <c r="E256" s="2"/>
    </row>
    <row r="257" customFormat="false" ht="15.75" hidden="false" customHeight="false" outlineLevel="0" collapsed="false">
      <c r="A257" s="5" t="s">
        <v>660</v>
      </c>
      <c r="B257" s="5" t="s">
        <v>661</v>
      </c>
      <c r="C257" s="5" t="s">
        <v>180</v>
      </c>
      <c r="D257" s="5" t="s">
        <v>196</v>
      </c>
      <c r="E257" s="2"/>
    </row>
    <row r="258" customFormat="false" ht="15.75" hidden="false" customHeight="false" outlineLevel="0" collapsed="false">
      <c r="A258" s="5" t="s">
        <v>662</v>
      </c>
      <c r="B258" s="5" t="s">
        <v>663</v>
      </c>
      <c r="C258" s="5" t="s">
        <v>180</v>
      </c>
      <c r="D258" s="5" t="s">
        <v>15</v>
      </c>
      <c r="E258" s="2"/>
    </row>
    <row r="259" customFormat="false" ht="15.75" hidden="false" customHeight="false" outlineLevel="0" collapsed="false">
      <c r="A259" s="5" t="s">
        <v>664</v>
      </c>
      <c r="B259" s="5" t="s">
        <v>665</v>
      </c>
      <c r="C259" s="5" t="s">
        <v>180</v>
      </c>
      <c r="D259" s="5" t="s">
        <v>196</v>
      </c>
      <c r="E259" s="2"/>
    </row>
    <row r="260" customFormat="false" ht="15.75" hidden="false" customHeight="false" outlineLevel="0" collapsed="false">
      <c r="A260" s="5" t="s">
        <v>666</v>
      </c>
      <c r="B260" s="5" t="s">
        <v>667</v>
      </c>
      <c r="C260" s="5" t="s">
        <v>187</v>
      </c>
      <c r="D260" s="5" t="s">
        <v>196</v>
      </c>
      <c r="E260" s="2"/>
    </row>
    <row r="261" customFormat="false" ht="15.75" hidden="false" customHeight="false" outlineLevel="0" collapsed="false">
      <c r="A261" s="5" t="s">
        <v>668</v>
      </c>
      <c r="B261" s="5" t="s">
        <v>669</v>
      </c>
      <c r="C261" s="5" t="s">
        <v>187</v>
      </c>
      <c r="D261" s="5" t="s">
        <v>188</v>
      </c>
      <c r="E261" s="2"/>
    </row>
    <row r="262" customFormat="false" ht="15.75" hidden="false" customHeight="false" outlineLevel="0" collapsed="false">
      <c r="A262" s="5" t="s">
        <v>670</v>
      </c>
      <c r="B262" s="5" t="s">
        <v>671</v>
      </c>
      <c r="C262" s="5" t="s">
        <v>187</v>
      </c>
      <c r="D262" s="5" t="s">
        <v>202</v>
      </c>
      <c r="E262" s="2"/>
    </row>
    <row r="263" customFormat="false" ht="15.75" hidden="false" customHeight="false" outlineLevel="0" collapsed="false">
      <c r="A263" s="5" t="s">
        <v>672</v>
      </c>
      <c r="B263" s="5" t="s">
        <v>673</v>
      </c>
      <c r="C263" s="5" t="s">
        <v>674</v>
      </c>
      <c r="D263" s="5" t="s">
        <v>15</v>
      </c>
      <c r="E263" s="2"/>
    </row>
    <row r="264" customFormat="false" ht="15.75" hidden="false" customHeight="false" outlineLevel="0" collapsed="false">
      <c r="A264" s="5" t="s">
        <v>675</v>
      </c>
      <c r="B264" s="5" t="s">
        <v>676</v>
      </c>
      <c r="C264" s="5" t="s">
        <v>187</v>
      </c>
      <c r="D264" s="5" t="s">
        <v>202</v>
      </c>
      <c r="E264" s="2"/>
    </row>
    <row r="265" customFormat="false" ht="15.75" hidden="false" customHeight="false" outlineLevel="0" collapsed="false">
      <c r="A265" s="5" t="s">
        <v>677</v>
      </c>
      <c r="B265" s="5" t="s">
        <v>678</v>
      </c>
      <c r="C265" s="5" t="s">
        <v>187</v>
      </c>
      <c r="D265" s="5" t="s">
        <v>257</v>
      </c>
      <c r="E265" s="2"/>
    </row>
    <row r="266" customFormat="false" ht="15.75" hidden="false" customHeight="false" outlineLevel="0" collapsed="false">
      <c r="A266" s="5" t="s">
        <v>69</v>
      </c>
      <c r="B266" s="5" t="s">
        <v>70</v>
      </c>
      <c r="C266" s="5" t="s">
        <v>26</v>
      </c>
      <c r="D266" s="5" t="s">
        <v>15</v>
      </c>
      <c r="E266" s="2"/>
    </row>
    <row r="267" customFormat="false" ht="15.75" hidden="false" customHeight="false" outlineLevel="0" collapsed="false">
      <c r="A267" s="5" t="s">
        <v>679</v>
      </c>
      <c r="B267" s="5" t="s">
        <v>680</v>
      </c>
      <c r="C267" s="5" t="s">
        <v>180</v>
      </c>
      <c r="D267" s="5" t="s">
        <v>199</v>
      </c>
      <c r="E267" s="2"/>
    </row>
    <row r="268" customFormat="false" ht="15.75" hidden="false" customHeight="false" outlineLevel="0" collapsed="false">
      <c r="A268" s="5" t="s">
        <v>681</v>
      </c>
      <c r="B268" s="5" t="s">
        <v>682</v>
      </c>
      <c r="C268" s="5" t="s">
        <v>180</v>
      </c>
      <c r="D268" s="5" t="s">
        <v>15</v>
      </c>
      <c r="E268" s="2"/>
    </row>
    <row r="269" customFormat="false" ht="15.75" hidden="false" customHeight="false" outlineLevel="0" collapsed="false">
      <c r="A269" s="5" t="s">
        <v>683</v>
      </c>
      <c r="B269" s="5" t="s">
        <v>684</v>
      </c>
      <c r="C269" s="5" t="s">
        <v>187</v>
      </c>
      <c r="D269" s="5" t="s">
        <v>202</v>
      </c>
      <c r="E269" s="2"/>
    </row>
    <row r="270" customFormat="false" ht="15.75" hidden="false" customHeight="false" outlineLevel="0" collapsed="false">
      <c r="A270" s="5" t="s">
        <v>71</v>
      </c>
      <c r="B270" s="5" t="s">
        <v>72</v>
      </c>
      <c r="C270" s="5" t="s">
        <v>73</v>
      </c>
      <c r="D270" s="5" t="s">
        <v>15</v>
      </c>
      <c r="E270" s="2"/>
    </row>
    <row r="271" customFormat="false" ht="15.75" hidden="false" customHeight="false" outlineLevel="0" collapsed="false">
      <c r="A271" s="5" t="s">
        <v>685</v>
      </c>
      <c r="B271" s="5" t="s">
        <v>686</v>
      </c>
      <c r="C271" s="5" t="s">
        <v>187</v>
      </c>
      <c r="D271" s="5" t="s">
        <v>188</v>
      </c>
      <c r="E271" s="2"/>
    </row>
    <row r="272" customFormat="false" ht="15.75" hidden="false" customHeight="false" outlineLevel="0" collapsed="false">
      <c r="A272" s="5" t="s">
        <v>687</v>
      </c>
      <c r="B272" s="5" t="s">
        <v>688</v>
      </c>
      <c r="C272" s="5" t="s">
        <v>236</v>
      </c>
      <c r="D272" s="5" t="s">
        <v>184</v>
      </c>
      <c r="E272" s="2"/>
    </row>
    <row r="273" customFormat="false" ht="15.75" hidden="false" customHeight="false" outlineLevel="0" collapsed="false">
      <c r="A273" s="5" t="s">
        <v>689</v>
      </c>
      <c r="B273" s="5" t="s">
        <v>690</v>
      </c>
      <c r="C273" s="5" t="s">
        <v>266</v>
      </c>
      <c r="D273" s="5" t="s">
        <v>196</v>
      </c>
      <c r="E273" s="2"/>
    </row>
    <row r="274" customFormat="false" ht="15.75" hidden="false" customHeight="false" outlineLevel="0" collapsed="false">
      <c r="A274" s="5" t="s">
        <v>691</v>
      </c>
      <c r="B274" s="5" t="s">
        <v>692</v>
      </c>
      <c r="C274" s="5" t="s">
        <v>180</v>
      </c>
      <c r="D274" s="5" t="s">
        <v>199</v>
      </c>
      <c r="E274" s="2"/>
    </row>
    <row r="275" customFormat="false" ht="15.75" hidden="false" customHeight="false" outlineLevel="0" collapsed="false">
      <c r="A275" s="5" t="s">
        <v>693</v>
      </c>
      <c r="B275" s="5" t="s">
        <v>694</v>
      </c>
      <c r="C275" s="5" t="s">
        <v>187</v>
      </c>
      <c r="D275" s="5" t="s">
        <v>257</v>
      </c>
      <c r="E275" s="2"/>
    </row>
    <row r="276" customFormat="false" ht="15.75" hidden="false" customHeight="false" outlineLevel="0" collapsed="false">
      <c r="A276" s="5" t="s">
        <v>695</v>
      </c>
      <c r="B276" s="5" t="s">
        <v>696</v>
      </c>
      <c r="C276" s="5" t="s">
        <v>187</v>
      </c>
      <c r="D276" s="5" t="s">
        <v>257</v>
      </c>
      <c r="E276" s="2"/>
    </row>
    <row r="277" customFormat="false" ht="15.75" hidden="false" customHeight="false" outlineLevel="0" collapsed="false">
      <c r="A277" s="5" t="s">
        <v>697</v>
      </c>
      <c r="B277" s="5" t="s">
        <v>698</v>
      </c>
      <c r="C277" s="5" t="s">
        <v>187</v>
      </c>
      <c r="D277" s="5" t="s">
        <v>202</v>
      </c>
      <c r="E277" s="2"/>
    </row>
    <row r="278" customFormat="false" ht="15.75" hidden="false" customHeight="false" outlineLevel="0" collapsed="false">
      <c r="A278" s="5" t="s">
        <v>699</v>
      </c>
      <c r="B278" s="5" t="s">
        <v>700</v>
      </c>
      <c r="C278" s="5" t="s">
        <v>180</v>
      </c>
      <c r="D278" s="5" t="s">
        <v>15</v>
      </c>
      <c r="E278" s="2"/>
    </row>
    <row r="279" customFormat="false" ht="15.75" hidden="false" customHeight="false" outlineLevel="0" collapsed="false">
      <c r="A279" s="5" t="s">
        <v>701</v>
      </c>
      <c r="B279" s="5" t="s">
        <v>702</v>
      </c>
      <c r="C279" s="5" t="s">
        <v>187</v>
      </c>
      <c r="D279" s="5" t="s">
        <v>257</v>
      </c>
      <c r="E279" s="2"/>
    </row>
    <row r="280" customFormat="false" ht="15.75" hidden="false" customHeight="false" outlineLevel="0" collapsed="false">
      <c r="A280" s="5" t="s">
        <v>703</v>
      </c>
      <c r="B280" s="5" t="s">
        <v>704</v>
      </c>
      <c r="C280" s="5" t="s">
        <v>187</v>
      </c>
      <c r="D280" s="5" t="s">
        <v>202</v>
      </c>
      <c r="E280" s="2"/>
    </row>
    <row r="281" customFormat="false" ht="15.75" hidden="false" customHeight="false" outlineLevel="0" collapsed="false">
      <c r="A281" s="5" t="s">
        <v>705</v>
      </c>
      <c r="B281" s="5" t="s">
        <v>706</v>
      </c>
      <c r="C281" s="5" t="s">
        <v>180</v>
      </c>
      <c r="D281" s="5" t="s">
        <v>15</v>
      </c>
      <c r="E281" s="2"/>
    </row>
    <row r="282" customFormat="false" ht="15.75" hidden="false" customHeight="false" outlineLevel="0" collapsed="false">
      <c r="A282" s="5" t="s">
        <v>707</v>
      </c>
      <c r="B282" s="5" t="s">
        <v>708</v>
      </c>
      <c r="C282" s="5" t="s">
        <v>187</v>
      </c>
      <c r="D282" s="5" t="s">
        <v>202</v>
      </c>
      <c r="E282" s="2"/>
    </row>
    <row r="283" customFormat="false" ht="15.75" hidden="false" customHeight="false" outlineLevel="0" collapsed="false">
      <c r="A283" s="5" t="s">
        <v>709</v>
      </c>
      <c r="B283" s="5" t="s">
        <v>710</v>
      </c>
      <c r="C283" s="5" t="s">
        <v>187</v>
      </c>
      <c r="D283" s="5" t="s">
        <v>202</v>
      </c>
      <c r="E283" s="2"/>
    </row>
    <row r="284" customFormat="false" ht="15.75" hidden="false" customHeight="false" outlineLevel="0" collapsed="false">
      <c r="A284" s="5" t="s">
        <v>711</v>
      </c>
      <c r="B284" s="5" t="s">
        <v>712</v>
      </c>
      <c r="C284" s="5" t="s">
        <v>114</v>
      </c>
      <c r="D284" s="5" t="s">
        <v>208</v>
      </c>
      <c r="E284" s="2"/>
    </row>
    <row r="285" customFormat="false" ht="15.75" hidden="false" customHeight="false" outlineLevel="0" collapsed="false">
      <c r="A285" s="5" t="s">
        <v>713</v>
      </c>
      <c r="B285" s="5" t="s">
        <v>714</v>
      </c>
      <c r="C285" s="5" t="s">
        <v>715</v>
      </c>
      <c r="D285" s="5" t="s">
        <v>184</v>
      </c>
      <c r="E285" s="2"/>
    </row>
    <row r="286" customFormat="false" ht="15.75" hidden="false" customHeight="false" outlineLevel="0" collapsed="false">
      <c r="A286" s="5" t="s">
        <v>716</v>
      </c>
      <c r="B286" s="5" t="s">
        <v>717</v>
      </c>
      <c r="C286" s="5" t="s">
        <v>180</v>
      </c>
      <c r="D286" s="5" t="s">
        <v>15</v>
      </c>
      <c r="E286" s="2"/>
    </row>
    <row r="287" customFormat="false" ht="15.75" hidden="false" customHeight="false" outlineLevel="0" collapsed="false">
      <c r="A287" s="5" t="s">
        <v>718</v>
      </c>
      <c r="B287" s="5" t="s">
        <v>719</v>
      </c>
      <c r="C287" s="5" t="s">
        <v>187</v>
      </c>
      <c r="D287" s="5" t="s">
        <v>184</v>
      </c>
      <c r="E287" s="2"/>
    </row>
    <row r="288" customFormat="false" ht="15.75" hidden="false" customHeight="false" outlineLevel="0" collapsed="false">
      <c r="A288" s="5" t="s">
        <v>720</v>
      </c>
      <c r="B288" s="5" t="s">
        <v>721</v>
      </c>
      <c r="C288" s="5" t="s">
        <v>191</v>
      </c>
      <c r="D288" s="5" t="s">
        <v>208</v>
      </c>
      <c r="E288" s="2"/>
    </row>
    <row r="289" customFormat="false" ht="15.75" hidden="false" customHeight="false" outlineLevel="0" collapsed="false">
      <c r="A289" s="5" t="s">
        <v>722</v>
      </c>
      <c r="B289" s="5" t="s">
        <v>723</v>
      </c>
      <c r="C289" s="5" t="s">
        <v>187</v>
      </c>
      <c r="D289" s="5" t="s">
        <v>188</v>
      </c>
      <c r="E289" s="2"/>
    </row>
    <row r="290" customFormat="false" ht="15.75" hidden="false" customHeight="false" outlineLevel="0" collapsed="false">
      <c r="A290" s="5" t="s">
        <v>724</v>
      </c>
      <c r="B290" s="5" t="s">
        <v>725</v>
      </c>
      <c r="C290" s="5" t="s">
        <v>187</v>
      </c>
      <c r="D290" s="5" t="s">
        <v>208</v>
      </c>
      <c r="E290" s="2"/>
    </row>
    <row r="291" customFormat="false" ht="15.75" hidden="false" customHeight="false" outlineLevel="0" collapsed="false">
      <c r="A291" s="5" t="s">
        <v>726</v>
      </c>
      <c r="B291" s="5" t="s">
        <v>727</v>
      </c>
      <c r="C291" s="5" t="s">
        <v>187</v>
      </c>
      <c r="D291" s="5" t="s">
        <v>188</v>
      </c>
      <c r="E291" s="2"/>
    </row>
    <row r="292" customFormat="false" ht="15.75" hidden="false" customHeight="false" outlineLevel="0" collapsed="false">
      <c r="A292" s="5" t="s">
        <v>728</v>
      </c>
      <c r="B292" s="5" t="s">
        <v>729</v>
      </c>
      <c r="C292" s="5" t="s">
        <v>266</v>
      </c>
      <c r="D292" s="5" t="s">
        <v>196</v>
      </c>
      <c r="E292" s="2"/>
    </row>
    <row r="293" customFormat="false" ht="15.75" hidden="false" customHeight="false" outlineLevel="0" collapsed="false">
      <c r="A293" s="5" t="s">
        <v>730</v>
      </c>
      <c r="B293" s="5" t="s">
        <v>731</v>
      </c>
      <c r="C293" s="5" t="s">
        <v>187</v>
      </c>
      <c r="D293" s="5" t="s">
        <v>202</v>
      </c>
      <c r="E293" s="2"/>
    </row>
    <row r="294" customFormat="false" ht="15.75" hidden="false" customHeight="false" outlineLevel="0" collapsed="false">
      <c r="A294" s="5" t="s">
        <v>732</v>
      </c>
      <c r="B294" s="5" t="s">
        <v>733</v>
      </c>
      <c r="C294" s="5" t="s">
        <v>187</v>
      </c>
      <c r="D294" s="5" t="s">
        <v>196</v>
      </c>
      <c r="E294" s="2"/>
    </row>
    <row r="295" customFormat="false" ht="15.75" hidden="false" customHeight="false" outlineLevel="0" collapsed="false">
      <c r="A295" s="5" t="s">
        <v>734</v>
      </c>
      <c r="B295" s="5" t="s">
        <v>735</v>
      </c>
      <c r="C295" s="5" t="s">
        <v>187</v>
      </c>
      <c r="D295" s="5" t="s">
        <v>188</v>
      </c>
      <c r="E295" s="2"/>
    </row>
    <row r="296" customFormat="false" ht="15.75" hidden="false" customHeight="false" outlineLevel="0" collapsed="false">
      <c r="A296" s="5" t="s">
        <v>736</v>
      </c>
      <c r="B296" s="5" t="s">
        <v>737</v>
      </c>
      <c r="C296" s="5" t="s">
        <v>187</v>
      </c>
      <c r="D296" s="5" t="s">
        <v>202</v>
      </c>
      <c r="E296" s="2"/>
    </row>
    <row r="297" customFormat="false" ht="15.75" hidden="false" customHeight="false" outlineLevel="0" collapsed="false">
      <c r="A297" s="5" t="s">
        <v>738</v>
      </c>
      <c r="B297" s="5" t="s">
        <v>739</v>
      </c>
      <c r="C297" s="5" t="s">
        <v>187</v>
      </c>
      <c r="D297" s="5" t="s">
        <v>202</v>
      </c>
      <c r="E297" s="2"/>
    </row>
    <row r="298" customFormat="false" ht="15.75" hidden="false" customHeight="false" outlineLevel="0" collapsed="false">
      <c r="A298" s="5" t="s">
        <v>740</v>
      </c>
      <c r="B298" s="5" t="s">
        <v>741</v>
      </c>
      <c r="C298" s="5" t="s">
        <v>287</v>
      </c>
      <c r="D298" s="5" t="s">
        <v>208</v>
      </c>
      <c r="E298" s="2"/>
    </row>
    <row r="299" customFormat="false" ht="15.75" hidden="false" customHeight="false" outlineLevel="0" collapsed="false">
      <c r="A299" s="5" t="s">
        <v>742</v>
      </c>
      <c r="B299" s="5" t="s">
        <v>743</v>
      </c>
      <c r="C299" s="5" t="s">
        <v>187</v>
      </c>
      <c r="D299" s="5" t="s">
        <v>202</v>
      </c>
      <c r="E299" s="2"/>
    </row>
    <row r="300" customFormat="false" ht="15.75" hidden="false" customHeight="false" outlineLevel="0" collapsed="false">
      <c r="A300" s="5" t="s">
        <v>744</v>
      </c>
      <c r="B300" s="5" t="s">
        <v>745</v>
      </c>
      <c r="C300" s="5" t="s">
        <v>187</v>
      </c>
      <c r="D300" s="5" t="s">
        <v>202</v>
      </c>
      <c r="E300" s="2"/>
    </row>
    <row r="301" customFormat="false" ht="15.75" hidden="false" customHeight="false" outlineLevel="0" collapsed="false">
      <c r="A301" s="5" t="s">
        <v>746</v>
      </c>
      <c r="B301" s="5" t="s">
        <v>747</v>
      </c>
      <c r="C301" s="5" t="s">
        <v>266</v>
      </c>
      <c r="D301" s="5" t="s">
        <v>196</v>
      </c>
      <c r="E301" s="2"/>
    </row>
    <row r="302" customFormat="false" ht="15.75" hidden="false" customHeight="false" outlineLevel="0" collapsed="false">
      <c r="A302" s="5" t="s">
        <v>748</v>
      </c>
      <c r="B302" s="5" t="s">
        <v>749</v>
      </c>
      <c r="C302" s="5" t="s">
        <v>187</v>
      </c>
      <c r="D302" s="5" t="s">
        <v>202</v>
      </c>
      <c r="E302" s="2"/>
    </row>
    <row r="303" customFormat="false" ht="15.75" hidden="false" customHeight="false" outlineLevel="0" collapsed="false">
      <c r="A303" s="5" t="s">
        <v>74</v>
      </c>
      <c r="B303" s="5" t="s">
        <v>75</v>
      </c>
      <c r="C303" s="5" t="s">
        <v>18</v>
      </c>
      <c r="D303" s="5" t="s">
        <v>15</v>
      </c>
      <c r="E303" s="2"/>
    </row>
    <row r="304" customFormat="false" ht="15.75" hidden="false" customHeight="false" outlineLevel="0" collapsed="false">
      <c r="A304" s="5" t="s">
        <v>750</v>
      </c>
      <c r="B304" s="5" t="s">
        <v>751</v>
      </c>
      <c r="C304" s="5" t="s">
        <v>180</v>
      </c>
      <c r="D304" s="5" t="s">
        <v>199</v>
      </c>
      <c r="E304" s="2"/>
    </row>
    <row r="305" customFormat="false" ht="15.75" hidden="false" customHeight="false" outlineLevel="0" collapsed="false">
      <c r="A305" s="5" t="s">
        <v>752</v>
      </c>
      <c r="B305" s="5" t="s">
        <v>753</v>
      </c>
      <c r="C305" s="5" t="s">
        <v>187</v>
      </c>
      <c r="D305" s="5" t="s">
        <v>202</v>
      </c>
      <c r="E305" s="2"/>
    </row>
    <row r="306" customFormat="false" ht="15.75" hidden="false" customHeight="false" outlineLevel="0" collapsed="false">
      <c r="A306" s="5" t="s">
        <v>754</v>
      </c>
      <c r="B306" s="5" t="s">
        <v>755</v>
      </c>
      <c r="C306" s="5" t="s">
        <v>191</v>
      </c>
      <c r="D306" s="5" t="s">
        <v>15</v>
      </c>
      <c r="E306" s="2"/>
    </row>
    <row r="307" customFormat="false" ht="15.75" hidden="false" customHeight="false" outlineLevel="0" collapsed="false">
      <c r="A307" s="5" t="s">
        <v>756</v>
      </c>
      <c r="B307" s="5" t="s">
        <v>757</v>
      </c>
      <c r="C307" s="5" t="s">
        <v>187</v>
      </c>
      <c r="D307" s="5" t="s">
        <v>196</v>
      </c>
      <c r="E307" s="2"/>
    </row>
    <row r="308" customFormat="false" ht="15.75" hidden="false" customHeight="false" outlineLevel="0" collapsed="false">
      <c r="A308" s="5" t="s">
        <v>758</v>
      </c>
      <c r="B308" s="5" t="s">
        <v>759</v>
      </c>
      <c r="C308" s="5" t="s">
        <v>187</v>
      </c>
      <c r="D308" s="5" t="s">
        <v>202</v>
      </c>
      <c r="E308" s="2"/>
    </row>
    <row r="309" customFormat="false" ht="15.75" hidden="false" customHeight="false" outlineLevel="0" collapsed="false">
      <c r="A309" s="5" t="s">
        <v>760</v>
      </c>
      <c r="B309" s="5" t="s">
        <v>761</v>
      </c>
      <c r="C309" s="5" t="s">
        <v>187</v>
      </c>
      <c r="D309" s="5" t="s">
        <v>208</v>
      </c>
      <c r="E309" s="2"/>
    </row>
    <row r="310" customFormat="false" ht="15.75" hidden="false" customHeight="false" outlineLevel="0" collapsed="false">
      <c r="A310" s="5" t="s">
        <v>762</v>
      </c>
      <c r="B310" s="5" t="s">
        <v>763</v>
      </c>
      <c r="C310" s="5" t="s">
        <v>187</v>
      </c>
      <c r="D310" s="5" t="s">
        <v>202</v>
      </c>
      <c r="E310" s="2"/>
    </row>
    <row r="311" customFormat="false" ht="15.75" hidden="false" customHeight="false" outlineLevel="0" collapsed="false">
      <c r="A311" s="5" t="s">
        <v>764</v>
      </c>
      <c r="B311" s="5" t="s">
        <v>765</v>
      </c>
      <c r="C311" s="5" t="s">
        <v>180</v>
      </c>
      <c r="D311" s="5" t="s">
        <v>15</v>
      </c>
      <c r="E311" s="2"/>
    </row>
    <row r="312" customFormat="false" ht="15.75" hidden="false" customHeight="false" outlineLevel="0" collapsed="false">
      <c r="A312" s="5" t="s">
        <v>766</v>
      </c>
      <c r="B312" s="5" t="s">
        <v>767</v>
      </c>
      <c r="C312" s="5" t="s">
        <v>215</v>
      </c>
      <c r="D312" s="5" t="s">
        <v>208</v>
      </c>
      <c r="E312" s="2"/>
    </row>
    <row r="313" customFormat="false" ht="15.75" hidden="false" customHeight="false" outlineLevel="0" collapsed="false">
      <c r="A313" s="5" t="s">
        <v>768</v>
      </c>
      <c r="B313" s="5" t="s">
        <v>769</v>
      </c>
      <c r="C313" s="5" t="s">
        <v>180</v>
      </c>
      <c r="D313" s="5" t="s">
        <v>15</v>
      </c>
      <c r="E313" s="2"/>
    </row>
    <row r="314" customFormat="false" ht="15.75" hidden="false" customHeight="false" outlineLevel="0" collapsed="false">
      <c r="A314" s="5" t="s">
        <v>770</v>
      </c>
      <c r="B314" s="5" t="s">
        <v>771</v>
      </c>
      <c r="C314" s="5" t="s">
        <v>187</v>
      </c>
      <c r="D314" s="5" t="s">
        <v>196</v>
      </c>
      <c r="E314" s="2"/>
    </row>
    <row r="315" customFormat="false" ht="15.75" hidden="false" customHeight="false" outlineLevel="0" collapsed="false">
      <c r="A315" s="5" t="s">
        <v>772</v>
      </c>
      <c r="B315" s="5" t="s">
        <v>773</v>
      </c>
      <c r="C315" s="5" t="s">
        <v>187</v>
      </c>
      <c r="D315" s="5" t="s">
        <v>257</v>
      </c>
      <c r="E315" s="2"/>
    </row>
    <row r="316" customFormat="false" ht="15.75" hidden="false" customHeight="false" outlineLevel="0" collapsed="false">
      <c r="A316" s="5" t="s">
        <v>774</v>
      </c>
      <c r="B316" s="5" t="s">
        <v>775</v>
      </c>
      <c r="C316" s="5" t="s">
        <v>187</v>
      </c>
      <c r="D316" s="5" t="s">
        <v>196</v>
      </c>
      <c r="E316" s="2"/>
    </row>
    <row r="317" customFormat="false" ht="15.75" hidden="false" customHeight="false" outlineLevel="0" collapsed="false">
      <c r="A317" s="5" t="s">
        <v>776</v>
      </c>
      <c r="B317" s="5" t="s">
        <v>777</v>
      </c>
      <c r="C317" s="5" t="s">
        <v>187</v>
      </c>
      <c r="D317" s="5" t="s">
        <v>202</v>
      </c>
      <c r="E317" s="2"/>
    </row>
    <row r="318" customFormat="false" ht="15.75" hidden="false" customHeight="false" outlineLevel="0" collapsed="false">
      <c r="A318" s="5" t="s">
        <v>778</v>
      </c>
      <c r="B318" s="5" t="s">
        <v>779</v>
      </c>
      <c r="C318" s="5" t="s">
        <v>187</v>
      </c>
      <c r="D318" s="5" t="s">
        <v>202</v>
      </c>
      <c r="E318" s="2"/>
    </row>
    <row r="319" customFormat="false" ht="15.75" hidden="false" customHeight="false" outlineLevel="0" collapsed="false">
      <c r="A319" s="5" t="s">
        <v>780</v>
      </c>
      <c r="B319" s="5" t="s">
        <v>781</v>
      </c>
      <c r="C319" s="5" t="s">
        <v>187</v>
      </c>
      <c r="D319" s="5" t="s">
        <v>202</v>
      </c>
      <c r="E319" s="2"/>
    </row>
    <row r="320" customFormat="false" ht="15.75" hidden="false" customHeight="false" outlineLevel="0" collapsed="false">
      <c r="A320" s="5" t="s">
        <v>782</v>
      </c>
      <c r="B320" s="5" t="s">
        <v>783</v>
      </c>
      <c r="C320" s="5" t="s">
        <v>187</v>
      </c>
      <c r="D320" s="5" t="s">
        <v>188</v>
      </c>
      <c r="E320" s="2"/>
    </row>
    <row r="321" customFormat="false" ht="15.75" hidden="false" customHeight="false" outlineLevel="0" collapsed="false">
      <c r="A321" s="5" t="s">
        <v>784</v>
      </c>
      <c r="B321" s="5" t="s">
        <v>785</v>
      </c>
      <c r="C321" s="6" t="n">
        <v>0</v>
      </c>
      <c r="D321" s="5" t="s">
        <v>15</v>
      </c>
      <c r="E321" s="2"/>
    </row>
    <row r="322" customFormat="false" ht="15.75" hidden="false" customHeight="false" outlineLevel="0" collapsed="false">
      <c r="A322" s="5" t="s">
        <v>76</v>
      </c>
      <c r="B322" s="5" t="s">
        <v>77</v>
      </c>
      <c r="C322" s="5" t="s">
        <v>78</v>
      </c>
      <c r="D322" s="5" t="s">
        <v>15</v>
      </c>
      <c r="E322" s="2"/>
    </row>
    <row r="323" customFormat="false" ht="15.75" hidden="false" customHeight="false" outlineLevel="0" collapsed="false">
      <c r="A323" s="5" t="s">
        <v>786</v>
      </c>
      <c r="B323" s="5" t="s">
        <v>787</v>
      </c>
      <c r="C323" s="5" t="s">
        <v>187</v>
      </c>
      <c r="D323" s="5" t="s">
        <v>202</v>
      </c>
      <c r="E323" s="2"/>
    </row>
    <row r="324" customFormat="false" ht="15.75" hidden="false" customHeight="false" outlineLevel="0" collapsed="false">
      <c r="A324" s="5" t="s">
        <v>788</v>
      </c>
      <c r="B324" s="5" t="s">
        <v>789</v>
      </c>
      <c r="C324" s="5" t="s">
        <v>187</v>
      </c>
      <c r="D324" s="5" t="s">
        <v>202</v>
      </c>
      <c r="E324" s="2"/>
    </row>
    <row r="325" customFormat="false" ht="15.75" hidden="false" customHeight="false" outlineLevel="0" collapsed="false">
      <c r="A325" s="5" t="s">
        <v>790</v>
      </c>
      <c r="B325" s="5" t="s">
        <v>791</v>
      </c>
      <c r="C325" s="5" t="s">
        <v>187</v>
      </c>
      <c r="D325" s="5" t="s">
        <v>202</v>
      </c>
      <c r="E325" s="2"/>
    </row>
    <row r="326" customFormat="false" ht="15.75" hidden="false" customHeight="false" outlineLevel="0" collapsed="false">
      <c r="A326" s="5" t="s">
        <v>792</v>
      </c>
      <c r="B326" s="5" t="s">
        <v>793</v>
      </c>
      <c r="C326" s="5" t="s">
        <v>187</v>
      </c>
      <c r="D326" s="5" t="s">
        <v>257</v>
      </c>
      <c r="E326" s="2"/>
    </row>
    <row r="327" customFormat="false" ht="15.75" hidden="false" customHeight="false" outlineLevel="0" collapsed="false">
      <c r="A327" s="5" t="s">
        <v>794</v>
      </c>
      <c r="B327" s="5" t="s">
        <v>795</v>
      </c>
      <c r="C327" s="5" t="s">
        <v>187</v>
      </c>
      <c r="D327" s="5" t="s">
        <v>202</v>
      </c>
      <c r="E327" s="2"/>
    </row>
    <row r="328" customFormat="false" ht="15.75" hidden="false" customHeight="false" outlineLevel="0" collapsed="false">
      <c r="A328" s="5" t="s">
        <v>796</v>
      </c>
      <c r="B328" s="5" t="s">
        <v>797</v>
      </c>
      <c r="C328" s="5" t="s">
        <v>187</v>
      </c>
      <c r="D328" s="5" t="s">
        <v>202</v>
      </c>
      <c r="E328" s="2"/>
    </row>
    <row r="329" customFormat="false" ht="15.75" hidden="false" customHeight="false" outlineLevel="0" collapsed="false">
      <c r="A329" s="5" t="s">
        <v>798</v>
      </c>
      <c r="B329" s="5" t="s">
        <v>799</v>
      </c>
      <c r="C329" s="5" t="s">
        <v>187</v>
      </c>
      <c r="D329" s="5" t="s">
        <v>202</v>
      </c>
      <c r="E329" s="2"/>
    </row>
    <row r="330" customFormat="false" ht="15.75" hidden="false" customHeight="false" outlineLevel="0" collapsed="false">
      <c r="A330" s="5" t="s">
        <v>800</v>
      </c>
      <c r="B330" s="5" t="s">
        <v>801</v>
      </c>
      <c r="C330" s="5" t="s">
        <v>187</v>
      </c>
      <c r="D330" s="5" t="s">
        <v>202</v>
      </c>
      <c r="E330" s="2"/>
    </row>
    <row r="331" customFormat="false" ht="15.75" hidden="false" customHeight="false" outlineLevel="0" collapsed="false">
      <c r="A331" s="5" t="s">
        <v>802</v>
      </c>
      <c r="B331" s="5" t="s">
        <v>803</v>
      </c>
      <c r="C331" s="5" t="s">
        <v>187</v>
      </c>
      <c r="D331" s="5" t="s">
        <v>196</v>
      </c>
      <c r="E331" s="2"/>
    </row>
    <row r="332" customFormat="false" ht="15.75" hidden="false" customHeight="false" outlineLevel="0" collapsed="false">
      <c r="A332" s="5" t="s">
        <v>804</v>
      </c>
      <c r="B332" s="5" t="s">
        <v>805</v>
      </c>
      <c r="C332" s="5" t="s">
        <v>187</v>
      </c>
      <c r="D332" s="5" t="s">
        <v>202</v>
      </c>
      <c r="E332" s="2"/>
    </row>
    <row r="333" customFormat="false" ht="15.75" hidden="false" customHeight="false" outlineLevel="0" collapsed="false">
      <c r="A333" s="5" t="s">
        <v>806</v>
      </c>
      <c r="B333" s="5" t="s">
        <v>807</v>
      </c>
      <c r="C333" s="5" t="s">
        <v>715</v>
      </c>
      <c r="D333" s="5" t="s">
        <v>15</v>
      </c>
      <c r="E333" s="2"/>
    </row>
    <row r="334" customFormat="false" ht="15.75" hidden="false" customHeight="false" outlineLevel="0" collapsed="false">
      <c r="A334" s="5" t="s">
        <v>808</v>
      </c>
      <c r="B334" s="5" t="s">
        <v>809</v>
      </c>
      <c r="C334" s="5" t="s">
        <v>187</v>
      </c>
      <c r="D334" s="5" t="s">
        <v>202</v>
      </c>
      <c r="E334" s="2"/>
    </row>
    <row r="335" customFormat="false" ht="15.75" hidden="false" customHeight="false" outlineLevel="0" collapsed="false">
      <c r="A335" s="5" t="s">
        <v>810</v>
      </c>
      <c r="B335" s="5" t="s">
        <v>811</v>
      </c>
      <c r="C335" s="5" t="s">
        <v>187</v>
      </c>
      <c r="D335" s="5" t="s">
        <v>345</v>
      </c>
      <c r="E335" s="2"/>
    </row>
    <row r="336" customFormat="false" ht="15.75" hidden="false" customHeight="false" outlineLevel="0" collapsed="false">
      <c r="A336" s="5" t="s">
        <v>79</v>
      </c>
      <c r="B336" s="5" t="s">
        <v>80</v>
      </c>
      <c r="C336" s="5" t="s">
        <v>46</v>
      </c>
      <c r="D336" s="5" t="s">
        <v>15</v>
      </c>
      <c r="E336" s="2"/>
    </row>
    <row r="337" customFormat="false" ht="15.75" hidden="false" customHeight="false" outlineLevel="0" collapsed="false">
      <c r="A337" s="5" t="s">
        <v>812</v>
      </c>
      <c r="B337" s="5" t="s">
        <v>813</v>
      </c>
      <c r="C337" s="5" t="s">
        <v>187</v>
      </c>
      <c r="D337" s="5" t="s">
        <v>208</v>
      </c>
      <c r="E337" s="2"/>
    </row>
    <row r="338" customFormat="false" ht="15.75" hidden="false" customHeight="false" outlineLevel="0" collapsed="false">
      <c r="A338" s="5" t="s">
        <v>814</v>
      </c>
      <c r="B338" s="5" t="s">
        <v>815</v>
      </c>
      <c r="C338" s="5" t="s">
        <v>187</v>
      </c>
      <c r="D338" s="5" t="s">
        <v>202</v>
      </c>
      <c r="E338" s="2"/>
    </row>
    <row r="339" customFormat="false" ht="15.75" hidden="false" customHeight="false" outlineLevel="0" collapsed="false">
      <c r="A339" s="5" t="s">
        <v>816</v>
      </c>
      <c r="B339" s="5" t="s">
        <v>817</v>
      </c>
      <c r="C339" s="5" t="s">
        <v>114</v>
      </c>
      <c r="D339" s="5" t="s">
        <v>196</v>
      </c>
      <c r="E339" s="2"/>
    </row>
    <row r="340" customFormat="false" ht="15.75" hidden="false" customHeight="false" outlineLevel="0" collapsed="false">
      <c r="A340" s="5" t="s">
        <v>81</v>
      </c>
      <c r="B340" s="5" t="s">
        <v>82</v>
      </c>
      <c r="C340" s="5" t="s">
        <v>83</v>
      </c>
      <c r="D340" s="5" t="s">
        <v>15</v>
      </c>
      <c r="E340" s="2"/>
    </row>
    <row r="341" customFormat="false" ht="15.75" hidden="false" customHeight="false" outlineLevel="0" collapsed="false">
      <c r="A341" s="5" t="s">
        <v>818</v>
      </c>
      <c r="B341" s="5" t="s">
        <v>819</v>
      </c>
      <c r="C341" s="5" t="s">
        <v>180</v>
      </c>
      <c r="D341" s="5" t="s">
        <v>199</v>
      </c>
      <c r="E341" s="2"/>
    </row>
    <row r="342" customFormat="false" ht="15.75" hidden="false" customHeight="false" outlineLevel="0" collapsed="false">
      <c r="A342" s="5" t="s">
        <v>820</v>
      </c>
      <c r="B342" s="5" t="s">
        <v>821</v>
      </c>
      <c r="C342" s="5" t="s">
        <v>187</v>
      </c>
      <c r="D342" s="5" t="s">
        <v>196</v>
      </c>
      <c r="E342" s="2"/>
    </row>
    <row r="343" customFormat="false" ht="15.75" hidden="false" customHeight="false" outlineLevel="0" collapsed="false">
      <c r="A343" s="5" t="s">
        <v>822</v>
      </c>
      <c r="B343" s="5" t="s">
        <v>823</v>
      </c>
      <c r="C343" s="5" t="s">
        <v>187</v>
      </c>
      <c r="D343" s="5" t="s">
        <v>345</v>
      </c>
      <c r="E343" s="2"/>
    </row>
    <row r="344" customFormat="false" ht="15.75" hidden="false" customHeight="false" outlineLevel="0" collapsed="false">
      <c r="A344" s="5" t="s">
        <v>824</v>
      </c>
      <c r="B344" s="5" t="s">
        <v>825</v>
      </c>
      <c r="C344" s="5" t="s">
        <v>187</v>
      </c>
      <c r="D344" s="5" t="s">
        <v>202</v>
      </c>
      <c r="E344" s="2"/>
    </row>
    <row r="345" customFormat="false" ht="15.75" hidden="false" customHeight="false" outlineLevel="0" collapsed="false">
      <c r="A345" s="5" t="s">
        <v>826</v>
      </c>
      <c r="B345" s="5" t="s">
        <v>827</v>
      </c>
      <c r="C345" s="5" t="s">
        <v>187</v>
      </c>
      <c r="D345" s="5" t="s">
        <v>345</v>
      </c>
      <c r="E345" s="2"/>
    </row>
    <row r="346" customFormat="false" ht="15.75" hidden="false" customHeight="false" outlineLevel="0" collapsed="false">
      <c r="A346" s="5" t="s">
        <v>828</v>
      </c>
      <c r="B346" s="5" t="s">
        <v>829</v>
      </c>
      <c r="C346" s="5" t="s">
        <v>187</v>
      </c>
      <c r="D346" s="5" t="s">
        <v>202</v>
      </c>
      <c r="E346" s="2"/>
    </row>
    <row r="347" customFormat="false" ht="15.75" hidden="false" customHeight="false" outlineLevel="0" collapsed="false">
      <c r="A347" s="5" t="s">
        <v>830</v>
      </c>
      <c r="B347" s="5" t="s">
        <v>831</v>
      </c>
      <c r="C347" s="5" t="s">
        <v>187</v>
      </c>
      <c r="D347" s="5" t="s">
        <v>202</v>
      </c>
      <c r="E347" s="2"/>
    </row>
    <row r="348" customFormat="false" ht="15.75" hidden="false" customHeight="false" outlineLevel="0" collapsed="false">
      <c r="A348" s="5" t="s">
        <v>832</v>
      </c>
      <c r="B348" s="5" t="s">
        <v>833</v>
      </c>
      <c r="C348" s="5" t="s">
        <v>187</v>
      </c>
      <c r="D348" s="5" t="s">
        <v>202</v>
      </c>
      <c r="E348" s="2"/>
    </row>
    <row r="349" customFormat="false" ht="15.75" hidden="false" customHeight="false" outlineLevel="0" collapsed="false">
      <c r="A349" s="5" t="s">
        <v>834</v>
      </c>
      <c r="B349" s="5" t="s">
        <v>835</v>
      </c>
      <c r="C349" s="5" t="s">
        <v>187</v>
      </c>
      <c r="D349" s="5" t="s">
        <v>202</v>
      </c>
      <c r="E349" s="2"/>
    </row>
    <row r="350" customFormat="false" ht="15.75" hidden="false" customHeight="false" outlineLevel="0" collapsed="false">
      <c r="A350" s="5" t="s">
        <v>836</v>
      </c>
      <c r="B350" s="5" t="s">
        <v>837</v>
      </c>
      <c r="C350" s="5" t="s">
        <v>187</v>
      </c>
      <c r="D350" s="5" t="s">
        <v>202</v>
      </c>
      <c r="E350" s="2"/>
    </row>
    <row r="351" customFormat="false" ht="15.75" hidden="false" customHeight="false" outlineLevel="0" collapsed="false">
      <c r="A351" s="5" t="s">
        <v>838</v>
      </c>
      <c r="B351" s="5" t="s">
        <v>839</v>
      </c>
      <c r="C351" s="5" t="s">
        <v>191</v>
      </c>
      <c r="D351" s="5" t="s">
        <v>196</v>
      </c>
      <c r="E351" s="2"/>
    </row>
    <row r="352" customFormat="false" ht="15.75" hidden="false" customHeight="false" outlineLevel="0" collapsed="false">
      <c r="A352" s="5" t="s">
        <v>840</v>
      </c>
      <c r="B352" s="5" t="s">
        <v>841</v>
      </c>
      <c r="C352" s="5" t="s">
        <v>180</v>
      </c>
      <c r="D352" s="5" t="s">
        <v>15</v>
      </c>
      <c r="E352" s="2"/>
    </row>
    <row r="353" customFormat="false" ht="15.75" hidden="false" customHeight="false" outlineLevel="0" collapsed="false">
      <c r="A353" s="5" t="s">
        <v>842</v>
      </c>
      <c r="B353" s="5" t="s">
        <v>843</v>
      </c>
      <c r="C353" s="5" t="s">
        <v>207</v>
      </c>
      <c r="D353" s="5" t="s">
        <v>15</v>
      </c>
      <c r="E353" s="2"/>
    </row>
    <row r="354" customFormat="false" ht="15.75" hidden="false" customHeight="false" outlineLevel="0" collapsed="false">
      <c r="A354" s="5" t="s">
        <v>844</v>
      </c>
      <c r="B354" s="5" t="s">
        <v>845</v>
      </c>
      <c r="C354" s="5" t="s">
        <v>180</v>
      </c>
      <c r="D354" s="5" t="s">
        <v>196</v>
      </c>
      <c r="E354" s="2"/>
    </row>
    <row r="355" customFormat="false" ht="15.75" hidden="false" customHeight="false" outlineLevel="0" collapsed="false">
      <c r="A355" s="5" t="s">
        <v>846</v>
      </c>
      <c r="B355" s="5" t="s">
        <v>847</v>
      </c>
      <c r="C355" s="5" t="s">
        <v>187</v>
      </c>
      <c r="D355" s="5" t="s">
        <v>202</v>
      </c>
      <c r="E355" s="2"/>
    </row>
    <row r="356" customFormat="false" ht="15.75" hidden="false" customHeight="false" outlineLevel="0" collapsed="false">
      <c r="A356" s="5" t="s">
        <v>848</v>
      </c>
      <c r="B356" s="5" t="s">
        <v>849</v>
      </c>
      <c r="C356" s="5" t="s">
        <v>287</v>
      </c>
      <c r="D356" s="5" t="s">
        <v>208</v>
      </c>
      <c r="E356" s="2"/>
    </row>
    <row r="357" customFormat="false" ht="15.75" hidden="false" customHeight="false" outlineLevel="0" collapsed="false">
      <c r="A357" s="5" t="s">
        <v>850</v>
      </c>
      <c r="B357" s="5" t="s">
        <v>851</v>
      </c>
      <c r="C357" s="5" t="s">
        <v>180</v>
      </c>
      <c r="D357" s="5" t="s">
        <v>15</v>
      </c>
      <c r="E357" s="2"/>
    </row>
    <row r="358" customFormat="false" ht="15.75" hidden="false" customHeight="false" outlineLevel="0" collapsed="false">
      <c r="A358" s="5" t="s">
        <v>84</v>
      </c>
      <c r="B358" s="5" t="s">
        <v>85</v>
      </c>
      <c r="C358" s="5" t="s">
        <v>86</v>
      </c>
      <c r="D358" s="5" t="s">
        <v>15</v>
      </c>
      <c r="E358" s="2"/>
    </row>
    <row r="359" customFormat="false" ht="15.75" hidden="false" customHeight="false" outlineLevel="0" collapsed="false">
      <c r="A359" s="5" t="s">
        <v>852</v>
      </c>
      <c r="B359" s="5" t="s">
        <v>853</v>
      </c>
      <c r="C359" s="5" t="s">
        <v>187</v>
      </c>
      <c r="D359" s="5" t="s">
        <v>202</v>
      </c>
      <c r="E359" s="2"/>
    </row>
    <row r="360" customFormat="false" ht="15.75" hidden="false" customHeight="false" outlineLevel="0" collapsed="false">
      <c r="A360" s="5" t="s">
        <v>854</v>
      </c>
      <c r="B360" s="5" t="s">
        <v>855</v>
      </c>
      <c r="C360" s="5" t="s">
        <v>187</v>
      </c>
      <c r="D360" s="5" t="s">
        <v>257</v>
      </c>
      <c r="E360" s="2"/>
    </row>
    <row r="361" customFormat="false" ht="15.75" hidden="false" customHeight="false" outlineLevel="0" collapsed="false">
      <c r="A361" s="5" t="s">
        <v>856</v>
      </c>
      <c r="B361" s="5" t="s">
        <v>857</v>
      </c>
      <c r="C361" s="5" t="s">
        <v>187</v>
      </c>
      <c r="D361" s="5" t="s">
        <v>202</v>
      </c>
      <c r="E361" s="2"/>
    </row>
    <row r="362" customFormat="false" ht="15.75" hidden="false" customHeight="false" outlineLevel="0" collapsed="false">
      <c r="A362" s="5" t="s">
        <v>858</v>
      </c>
      <c r="B362" s="5" t="s">
        <v>859</v>
      </c>
      <c r="C362" s="5" t="s">
        <v>287</v>
      </c>
      <c r="D362" s="5" t="s">
        <v>208</v>
      </c>
      <c r="E362" s="2"/>
    </row>
    <row r="363" customFormat="false" ht="15.75" hidden="false" customHeight="false" outlineLevel="0" collapsed="false">
      <c r="A363" s="5" t="s">
        <v>860</v>
      </c>
      <c r="B363" s="5" t="s">
        <v>861</v>
      </c>
      <c r="C363" s="5" t="s">
        <v>187</v>
      </c>
      <c r="D363" s="5" t="s">
        <v>188</v>
      </c>
      <c r="E363" s="2"/>
    </row>
    <row r="364" customFormat="false" ht="15.75" hidden="false" customHeight="false" outlineLevel="0" collapsed="false">
      <c r="A364" s="5" t="s">
        <v>862</v>
      </c>
      <c r="B364" s="5" t="s">
        <v>863</v>
      </c>
      <c r="C364" s="5" t="s">
        <v>187</v>
      </c>
      <c r="D364" s="5" t="s">
        <v>196</v>
      </c>
      <c r="E364" s="2"/>
    </row>
    <row r="365" customFormat="false" ht="15.75" hidden="false" customHeight="false" outlineLevel="0" collapsed="false">
      <c r="A365" s="5" t="s">
        <v>864</v>
      </c>
      <c r="B365" s="5" t="s">
        <v>865</v>
      </c>
      <c r="C365" s="5" t="s">
        <v>180</v>
      </c>
      <c r="D365" s="5" t="s">
        <v>15</v>
      </c>
      <c r="E365" s="2"/>
    </row>
    <row r="366" customFormat="false" ht="15.75" hidden="false" customHeight="false" outlineLevel="0" collapsed="false">
      <c r="A366" s="5" t="s">
        <v>866</v>
      </c>
      <c r="B366" s="5" t="s">
        <v>867</v>
      </c>
      <c r="C366" s="5" t="s">
        <v>187</v>
      </c>
      <c r="D366" s="5" t="s">
        <v>196</v>
      </c>
      <c r="E366" s="2"/>
    </row>
    <row r="367" customFormat="false" ht="15.75" hidden="false" customHeight="false" outlineLevel="0" collapsed="false">
      <c r="A367" s="5" t="s">
        <v>868</v>
      </c>
      <c r="B367" s="5" t="s">
        <v>869</v>
      </c>
      <c r="C367" s="5" t="s">
        <v>187</v>
      </c>
      <c r="D367" s="5" t="s">
        <v>188</v>
      </c>
      <c r="E367" s="2"/>
    </row>
    <row r="368" customFormat="false" ht="15.75" hidden="false" customHeight="false" outlineLevel="0" collapsed="false">
      <c r="A368" s="5" t="s">
        <v>870</v>
      </c>
      <c r="B368" s="5" t="s">
        <v>871</v>
      </c>
      <c r="C368" s="5" t="s">
        <v>180</v>
      </c>
      <c r="D368" s="5" t="s">
        <v>15</v>
      </c>
      <c r="E368" s="2"/>
    </row>
    <row r="369" customFormat="false" ht="15.75" hidden="false" customHeight="false" outlineLevel="0" collapsed="false">
      <c r="A369" s="5" t="s">
        <v>872</v>
      </c>
      <c r="B369" s="5" t="s">
        <v>873</v>
      </c>
      <c r="C369" s="5" t="s">
        <v>180</v>
      </c>
      <c r="D369" s="5" t="s">
        <v>15</v>
      </c>
      <c r="E369" s="2"/>
    </row>
    <row r="370" customFormat="false" ht="15.75" hidden="false" customHeight="false" outlineLevel="0" collapsed="false">
      <c r="A370" s="5" t="s">
        <v>874</v>
      </c>
      <c r="B370" s="5" t="s">
        <v>875</v>
      </c>
      <c r="C370" s="5" t="s">
        <v>287</v>
      </c>
      <c r="D370" s="5" t="s">
        <v>208</v>
      </c>
      <c r="E370" s="2"/>
    </row>
    <row r="371" customFormat="false" ht="15.75" hidden="false" customHeight="false" outlineLevel="0" collapsed="false">
      <c r="A371" s="5" t="s">
        <v>876</v>
      </c>
      <c r="B371" s="5" t="s">
        <v>877</v>
      </c>
      <c r="C371" s="5" t="s">
        <v>183</v>
      </c>
      <c r="D371" s="5" t="s">
        <v>184</v>
      </c>
      <c r="E371" s="2"/>
    </row>
    <row r="372" customFormat="false" ht="15.75" hidden="false" customHeight="false" outlineLevel="0" collapsed="false">
      <c r="A372" s="5" t="s">
        <v>878</v>
      </c>
      <c r="B372" s="5" t="s">
        <v>879</v>
      </c>
      <c r="C372" s="5" t="s">
        <v>266</v>
      </c>
      <c r="D372" s="5" t="s">
        <v>196</v>
      </c>
      <c r="E372" s="2"/>
    </row>
    <row r="373" customFormat="false" ht="15.75" hidden="false" customHeight="false" outlineLevel="0" collapsed="false">
      <c r="A373" s="5" t="s">
        <v>880</v>
      </c>
      <c r="B373" s="5" t="s">
        <v>881</v>
      </c>
      <c r="C373" s="5" t="s">
        <v>266</v>
      </c>
      <c r="D373" s="5" t="s">
        <v>196</v>
      </c>
      <c r="E373" s="2"/>
    </row>
    <row r="374" customFormat="false" ht="15.75" hidden="false" customHeight="false" outlineLevel="0" collapsed="false">
      <c r="A374" s="5" t="s">
        <v>882</v>
      </c>
      <c r="B374" s="5" t="s">
        <v>883</v>
      </c>
      <c r="C374" s="5" t="s">
        <v>187</v>
      </c>
      <c r="D374" s="5" t="s">
        <v>257</v>
      </c>
      <c r="E374" s="2"/>
    </row>
    <row r="375" customFormat="false" ht="15.75" hidden="false" customHeight="false" outlineLevel="0" collapsed="false">
      <c r="A375" s="5" t="s">
        <v>884</v>
      </c>
      <c r="B375" s="5" t="s">
        <v>885</v>
      </c>
      <c r="C375" s="5" t="s">
        <v>187</v>
      </c>
      <c r="D375" s="5" t="s">
        <v>188</v>
      </c>
      <c r="E375" s="2"/>
    </row>
    <row r="376" customFormat="false" ht="15.75" hidden="false" customHeight="false" outlineLevel="0" collapsed="false">
      <c r="A376" s="5" t="s">
        <v>87</v>
      </c>
      <c r="B376" s="5" t="s">
        <v>88</v>
      </c>
      <c r="C376" s="5" t="s">
        <v>14</v>
      </c>
      <c r="D376" s="5" t="s">
        <v>15</v>
      </c>
      <c r="E376" s="2"/>
    </row>
    <row r="377" customFormat="false" ht="15.75" hidden="false" customHeight="false" outlineLevel="0" collapsed="false">
      <c r="A377" s="5" t="s">
        <v>886</v>
      </c>
      <c r="B377" s="5" t="s">
        <v>887</v>
      </c>
      <c r="C377" s="5" t="s">
        <v>187</v>
      </c>
      <c r="D377" s="5" t="s">
        <v>202</v>
      </c>
      <c r="E377" s="2"/>
    </row>
    <row r="378" customFormat="false" ht="15.75" hidden="false" customHeight="false" outlineLevel="0" collapsed="false">
      <c r="A378" s="5" t="s">
        <v>888</v>
      </c>
      <c r="B378" s="5" t="s">
        <v>889</v>
      </c>
      <c r="C378" s="5" t="s">
        <v>187</v>
      </c>
      <c r="D378" s="5" t="s">
        <v>202</v>
      </c>
      <c r="E378" s="2"/>
    </row>
    <row r="379" customFormat="false" ht="15.75" hidden="false" customHeight="false" outlineLevel="0" collapsed="false">
      <c r="A379" s="5" t="s">
        <v>890</v>
      </c>
      <c r="B379" s="5" t="s">
        <v>891</v>
      </c>
      <c r="C379" s="5" t="s">
        <v>180</v>
      </c>
      <c r="D379" s="5" t="s">
        <v>196</v>
      </c>
      <c r="E379" s="2"/>
    </row>
    <row r="380" customFormat="false" ht="15.75" hidden="false" customHeight="false" outlineLevel="0" collapsed="false">
      <c r="A380" s="5" t="s">
        <v>892</v>
      </c>
      <c r="B380" s="5" t="s">
        <v>893</v>
      </c>
      <c r="C380" s="5" t="s">
        <v>187</v>
      </c>
      <c r="D380" s="5" t="s">
        <v>199</v>
      </c>
      <c r="E380" s="2"/>
    </row>
    <row r="381" customFormat="false" ht="15.75" hidden="false" customHeight="false" outlineLevel="0" collapsed="false">
      <c r="A381" s="5" t="s">
        <v>894</v>
      </c>
      <c r="B381" s="5" t="s">
        <v>895</v>
      </c>
      <c r="C381" s="5" t="s">
        <v>180</v>
      </c>
      <c r="D381" s="5" t="s">
        <v>199</v>
      </c>
      <c r="E381" s="2"/>
    </row>
    <row r="382" customFormat="false" ht="15.75" hidden="false" customHeight="false" outlineLevel="0" collapsed="false">
      <c r="A382" s="5" t="s">
        <v>896</v>
      </c>
      <c r="B382" s="5" t="s">
        <v>897</v>
      </c>
      <c r="C382" s="5" t="s">
        <v>180</v>
      </c>
      <c r="D382" s="5" t="s">
        <v>15</v>
      </c>
      <c r="E382" s="2"/>
    </row>
    <row r="383" customFormat="false" ht="15.75" hidden="false" customHeight="false" outlineLevel="0" collapsed="false">
      <c r="A383" s="5" t="s">
        <v>898</v>
      </c>
      <c r="B383" s="5" t="s">
        <v>899</v>
      </c>
      <c r="C383" s="5" t="s">
        <v>187</v>
      </c>
      <c r="D383" s="5" t="s">
        <v>202</v>
      </c>
      <c r="E383" s="2"/>
    </row>
    <row r="384" customFormat="false" ht="15.75" hidden="false" customHeight="false" outlineLevel="0" collapsed="false">
      <c r="A384" s="5" t="s">
        <v>900</v>
      </c>
      <c r="B384" s="5" t="s">
        <v>901</v>
      </c>
      <c r="C384" s="5" t="s">
        <v>187</v>
      </c>
      <c r="D384" s="5" t="s">
        <v>188</v>
      </c>
      <c r="E384" s="2"/>
    </row>
    <row r="385" customFormat="false" ht="15.75" hidden="false" customHeight="false" outlineLevel="0" collapsed="false">
      <c r="A385" s="5" t="s">
        <v>902</v>
      </c>
      <c r="B385" s="5" t="s">
        <v>903</v>
      </c>
      <c r="C385" s="5" t="s">
        <v>187</v>
      </c>
      <c r="D385" s="5" t="s">
        <v>188</v>
      </c>
      <c r="E385" s="2"/>
    </row>
    <row r="386" customFormat="false" ht="15.75" hidden="false" customHeight="false" outlineLevel="0" collapsed="false">
      <c r="A386" s="5" t="s">
        <v>904</v>
      </c>
      <c r="B386" s="5" t="s">
        <v>905</v>
      </c>
      <c r="C386" s="5" t="s">
        <v>183</v>
      </c>
      <c r="D386" s="5" t="s">
        <v>184</v>
      </c>
      <c r="E386" s="2"/>
    </row>
    <row r="387" customFormat="false" ht="15.75" hidden="false" customHeight="false" outlineLevel="0" collapsed="false">
      <c r="A387" s="5" t="s">
        <v>906</v>
      </c>
      <c r="B387" s="5" t="s">
        <v>907</v>
      </c>
      <c r="C387" s="5" t="s">
        <v>180</v>
      </c>
      <c r="D387" s="5" t="s">
        <v>15</v>
      </c>
      <c r="E387" s="2"/>
    </row>
    <row r="388" customFormat="false" ht="15.75" hidden="false" customHeight="false" outlineLevel="0" collapsed="false">
      <c r="A388" s="5" t="s">
        <v>908</v>
      </c>
      <c r="B388" s="5" t="s">
        <v>909</v>
      </c>
      <c r="C388" s="5" t="s">
        <v>187</v>
      </c>
      <c r="D388" s="5" t="s">
        <v>202</v>
      </c>
      <c r="E388" s="2"/>
    </row>
    <row r="389" customFormat="false" ht="15.75" hidden="false" customHeight="false" outlineLevel="0" collapsed="false">
      <c r="A389" s="5" t="s">
        <v>910</v>
      </c>
      <c r="B389" s="5" t="s">
        <v>911</v>
      </c>
      <c r="C389" s="5" t="s">
        <v>187</v>
      </c>
      <c r="D389" s="5" t="s">
        <v>188</v>
      </c>
      <c r="E389" s="2"/>
    </row>
    <row r="390" customFormat="false" ht="15.75" hidden="false" customHeight="false" outlineLevel="0" collapsed="false">
      <c r="A390" s="5" t="s">
        <v>912</v>
      </c>
      <c r="B390" s="5" t="s">
        <v>913</v>
      </c>
      <c r="C390" s="5" t="s">
        <v>266</v>
      </c>
      <c r="D390" s="5" t="s">
        <v>196</v>
      </c>
      <c r="E390" s="2"/>
    </row>
    <row r="391" customFormat="false" ht="15.75" hidden="false" customHeight="false" outlineLevel="0" collapsed="false">
      <c r="A391" s="5" t="s">
        <v>914</v>
      </c>
      <c r="B391" s="5" t="s">
        <v>915</v>
      </c>
      <c r="C391" s="5" t="s">
        <v>187</v>
      </c>
      <c r="D391" s="5" t="s">
        <v>196</v>
      </c>
      <c r="E391" s="2"/>
    </row>
    <row r="392" customFormat="false" ht="15.75" hidden="false" customHeight="false" outlineLevel="0" collapsed="false">
      <c r="A392" s="5" t="s">
        <v>916</v>
      </c>
      <c r="B392" s="5" t="s">
        <v>917</v>
      </c>
      <c r="C392" s="5" t="s">
        <v>287</v>
      </c>
      <c r="D392" s="5" t="s">
        <v>208</v>
      </c>
      <c r="E392" s="2"/>
    </row>
    <row r="393" customFormat="false" ht="15.75" hidden="false" customHeight="false" outlineLevel="0" collapsed="false">
      <c r="A393" s="5" t="s">
        <v>918</v>
      </c>
      <c r="B393" s="5" t="s">
        <v>919</v>
      </c>
      <c r="C393" s="5" t="s">
        <v>180</v>
      </c>
      <c r="D393" s="5" t="s">
        <v>15</v>
      </c>
      <c r="E393" s="2"/>
    </row>
    <row r="394" customFormat="false" ht="15.75" hidden="false" customHeight="false" outlineLevel="0" collapsed="false">
      <c r="A394" s="5" t="s">
        <v>920</v>
      </c>
      <c r="B394" s="5" t="s">
        <v>921</v>
      </c>
      <c r="C394" s="5" t="s">
        <v>187</v>
      </c>
      <c r="D394" s="5" t="s">
        <v>199</v>
      </c>
      <c r="E394" s="2"/>
    </row>
    <row r="395" customFormat="false" ht="15.75" hidden="false" customHeight="false" outlineLevel="0" collapsed="false">
      <c r="A395" s="5" t="s">
        <v>922</v>
      </c>
      <c r="B395" s="5" t="s">
        <v>923</v>
      </c>
      <c r="C395" s="5" t="s">
        <v>180</v>
      </c>
      <c r="D395" s="5" t="s">
        <v>199</v>
      </c>
      <c r="E395" s="2"/>
    </row>
    <row r="396" customFormat="false" ht="15.75" hidden="false" customHeight="false" outlineLevel="0" collapsed="false">
      <c r="A396" s="5" t="s">
        <v>924</v>
      </c>
      <c r="B396" s="5" t="s">
        <v>925</v>
      </c>
      <c r="C396" s="5" t="s">
        <v>18</v>
      </c>
      <c r="D396" s="5" t="s">
        <v>15</v>
      </c>
      <c r="E396" s="2"/>
    </row>
    <row r="397" customFormat="false" ht="15.75" hidden="false" customHeight="false" outlineLevel="0" collapsed="false">
      <c r="A397" s="5" t="s">
        <v>89</v>
      </c>
      <c r="B397" s="5" t="s">
        <v>90</v>
      </c>
      <c r="C397" s="5" t="s">
        <v>18</v>
      </c>
      <c r="D397" s="5" t="s">
        <v>15</v>
      </c>
      <c r="E397" s="2"/>
    </row>
    <row r="398" customFormat="false" ht="15.75" hidden="false" customHeight="false" outlineLevel="0" collapsed="false">
      <c r="A398" s="5" t="s">
        <v>926</v>
      </c>
      <c r="B398" s="5" t="s">
        <v>927</v>
      </c>
      <c r="C398" s="5" t="s">
        <v>187</v>
      </c>
      <c r="D398" s="5" t="s">
        <v>202</v>
      </c>
      <c r="E398" s="2"/>
    </row>
    <row r="399" customFormat="false" ht="15.75" hidden="false" customHeight="false" outlineLevel="0" collapsed="false">
      <c r="A399" s="5" t="s">
        <v>928</v>
      </c>
      <c r="B399" s="5" t="s">
        <v>929</v>
      </c>
      <c r="C399" s="5" t="s">
        <v>35</v>
      </c>
      <c r="D399" s="5" t="s">
        <v>15</v>
      </c>
      <c r="E399" s="2"/>
    </row>
    <row r="400" customFormat="false" ht="15.75" hidden="false" customHeight="false" outlineLevel="0" collapsed="false">
      <c r="A400" s="5" t="s">
        <v>930</v>
      </c>
      <c r="B400" s="5" t="s">
        <v>931</v>
      </c>
      <c r="C400" s="5" t="s">
        <v>187</v>
      </c>
      <c r="D400" s="5" t="s">
        <v>196</v>
      </c>
      <c r="E400" s="2"/>
    </row>
    <row r="401" customFormat="false" ht="15.75" hidden="false" customHeight="false" outlineLevel="0" collapsed="false">
      <c r="A401" s="5" t="s">
        <v>932</v>
      </c>
      <c r="B401" s="5" t="s">
        <v>933</v>
      </c>
      <c r="C401" s="5" t="s">
        <v>187</v>
      </c>
      <c r="D401" s="5" t="s">
        <v>202</v>
      </c>
      <c r="E401" s="2"/>
    </row>
    <row r="402" customFormat="false" ht="15.75" hidden="false" customHeight="false" outlineLevel="0" collapsed="false">
      <c r="A402" s="5" t="s">
        <v>934</v>
      </c>
      <c r="B402" s="5" t="s">
        <v>935</v>
      </c>
      <c r="C402" s="5" t="s">
        <v>187</v>
      </c>
      <c r="D402" s="5" t="s">
        <v>196</v>
      </c>
      <c r="E402" s="2"/>
    </row>
    <row r="403" customFormat="false" ht="15.75" hidden="false" customHeight="false" outlineLevel="0" collapsed="false">
      <c r="A403" s="5" t="s">
        <v>936</v>
      </c>
      <c r="B403" s="5" t="s">
        <v>937</v>
      </c>
      <c r="C403" s="5" t="s">
        <v>35</v>
      </c>
      <c r="D403" s="5" t="s">
        <v>15</v>
      </c>
      <c r="E403" s="2"/>
    </row>
    <row r="404" customFormat="false" ht="15.75" hidden="false" customHeight="false" outlineLevel="0" collapsed="false">
      <c r="A404" s="5" t="s">
        <v>938</v>
      </c>
      <c r="B404" s="5" t="s">
        <v>939</v>
      </c>
      <c r="C404" s="5" t="s">
        <v>187</v>
      </c>
      <c r="D404" s="5" t="s">
        <v>345</v>
      </c>
      <c r="E404" s="2"/>
    </row>
    <row r="405" customFormat="false" ht="15.75" hidden="false" customHeight="false" outlineLevel="0" collapsed="false">
      <c r="A405" s="5" t="s">
        <v>940</v>
      </c>
      <c r="B405" s="5" t="s">
        <v>941</v>
      </c>
      <c r="C405" s="5" t="s">
        <v>187</v>
      </c>
      <c r="D405" s="5" t="s">
        <v>196</v>
      </c>
      <c r="E405" s="2"/>
    </row>
    <row r="406" customFormat="false" ht="15.75" hidden="false" customHeight="false" outlineLevel="0" collapsed="false">
      <c r="A406" s="5" t="s">
        <v>942</v>
      </c>
      <c r="B406" s="5" t="s">
        <v>943</v>
      </c>
      <c r="C406" s="5" t="s">
        <v>187</v>
      </c>
      <c r="D406" s="5" t="s">
        <v>202</v>
      </c>
      <c r="E406" s="2"/>
    </row>
    <row r="407" customFormat="false" ht="15.75" hidden="false" customHeight="false" outlineLevel="0" collapsed="false">
      <c r="A407" s="5" t="s">
        <v>944</v>
      </c>
      <c r="B407" s="5" t="s">
        <v>945</v>
      </c>
      <c r="C407" s="5" t="s">
        <v>180</v>
      </c>
      <c r="D407" s="5" t="s">
        <v>15</v>
      </c>
      <c r="E407" s="2"/>
    </row>
    <row r="408" customFormat="false" ht="15.75" hidden="false" customHeight="false" outlineLevel="0" collapsed="false">
      <c r="A408" s="5" t="s">
        <v>946</v>
      </c>
      <c r="B408" s="5" t="s">
        <v>947</v>
      </c>
      <c r="C408" s="5" t="s">
        <v>187</v>
      </c>
      <c r="D408" s="5" t="s">
        <v>202</v>
      </c>
      <c r="E408" s="2"/>
    </row>
    <row r="409" customFormat="false" ht="15.75" hidden="false" customHeight="false" outlineLevel="0" collapsed="false">
      <c r="A409" s="5" t="s">
        <v>91</v>
      </c>
      <c r="B409" s="5" t="s">
        <v>92</v>
      </c>
      <c r="C409" s="5" t="s">
        <v>21</v>
      </c>
      <c r="D409" s="5" t="s">
        <v>15</v>
      </c>
      <c r="E409" s="2"/>
    </row>
    <row r="410" customFormat="false" ht="15.75" hidden="false" customHeight="false" outlineLevel="0" collapsed="false">
      <c r="A410" s="5" t="s">
        <v>948</v>
      </c>
      <c r="B410" s="5" t="s">
        <v>949</v>
      </c>
      <c r="C410" s="5" t="s">
        <v>187</v>
      </c>
      <c r="D410" s="5" t="s">
        <v>202</v>
      </c>
      <c r="E410" s="2"/>
    </row>
    <row r="411" customFormat="false" ht="15.75" hidden="false" customHeight="false" outlineLevel="0" collapsed="false">
      <c r="A411" s="5" t="s">
        <v>950</v>
      </c>
      <c r="B411" s="5" t="s">
        <v>951</v>
      </c>
      <c r="C411" s="5" t="s">
        <v>187</v>
      </c>
      <c r="D411" s="5" t="s">
        <v>208</v>
      </c>
      <c r="E411" s="2"/>
    </row>
    <row r="412" customFormat="false" ht="15.75" hidden="false" customHeight="false" outlineLevel="0" collapsed="false">
      <c r="A412" s="5" t="s">
        <v>952</v>
      </c>
      <c r="B412" s="5" t="s">
        <v>953</v>
      </c>
      <c r="C412" s="5" t="s">
        <v>187</v>
      </c>
      <c r="D412" s="5" t="s">
        <v>202</v>
      </c>
      <c r="E412" s="2"/>
    </row>
    <row r="413" customFormat="false" ht="15.75" hidden="false" customHeight="false" outlineLevel="0" collapsed="false">
      <c r="A413" s="5" t="s">
        <v>954</v>
      </c>
      <c r="B413" s="5" t="s">
        <v>955</v>
      </c>
      <c r="C413" s="5" t="s">
        <v>187</v>
      </c>
      <c r="D413" s="5" t="s">
        <v>196</v>
      </c>
      <c r="E413" s="2"/>
    </row>
    <row r="414" customFormat="false" ht="15.75" hidden="false" customHeight="false" outlineLevel="0" collapsed="false">
      <c r="A414" s="5" t="s">
        <v>93</v>
      </c>
      <c r="B414" s="5" t="s">
        <v>94</v>
      </c>
      <c r="C414" s="5" t="s">
        <v>35</v>
      </c>
      <c r="D414" s="5" t="s">
        <v>15</v>
      </c>
      <c r="E414" s="2"/>
    </row>
    <row r="415" customFormat="false" ht="15.75" hidden="false" customHeight="false" outlineLevel="0" collapsed="false">
      <c r="A415" s="5" t="s">
        <v>956</v>
      </c>
      <c r="B415" s="5" t="s">
        <v>957</v>
      </c>
      <c r="C415" s="5" t="s">
        <v>187</v>
      </c>
      <c r="D415" s="5" t="s">
        <v>202</v>
      </c>
      <c r="E415" s="2"/>
    </row>
    <row r="416" customFormat="false" ht="15.75" hidden="false" customHeight="false" outlineLevel="0" collapsed="false">
      <c r="A416" s="5" t="s">
        <v>958</v>
      </c>
      <c r="B416" s="5" t="s">
        <v>959</v>
      </c>
      <c r="C416" s="5" t="s">
        <v>35</v>
      </c>
      <c r="D416" s="5" t="s">
        <v>15</v>
      </c>
      <c r="E416" s="2"/>
    </row>
    <row r="417" customFormat="false" ht="15.75" hidden="false" customHeight="false" outlineLevel="0" collapsed="false">
      <c r="A417" s="5" t="s">
        <v>960</v>
      </c>
      <c r="B417" s="5" t="s">
        <v>961</v>
      </c>
      <c r="C417" s="5" t="s">
        <v>187</v>
      </c>
      <c r="D417" s="5" t="s">
        <v>202</v>
      </c>
      <c r="E417" s="2"/>
    </row>
    <row r="418" customFormat="false" ht="15.75" hidden="false" customHeight="false" outlineLevel="0" collapsed="false">
      <c r="A418" s="5" t="s">
        <v>962</v>
      </c>
      <c r="B418" s="5" t="s">
        <v>963</v>
      </c>
      <c r="C418" s="5" t="s">
        <v>180</v>
      </c>
      <c r="D418" s="5" t="s">
        <v>15</v>
      </c>
      <c r="E418" s="2"/>
    </row>
    <row r="419" customFormat="false" ht="15.75" hidden="false" customHeight="false" outlineLevel="0" collapsed="false">
      <c r="A419" s="5" t="s">
        <v>964</v>
      </c>
      <c r="B419" s="5" t="s">
        <v>965</v>
      </c>
      <c r="C419" s="5" t="s">
        <v>187</v>
      </c>
      <c r="D419" s="5" t="s">
        <v>202</v>
      </c>
      <c r="E419" s="2"/>
    </row>
    <row r="420" customFormat="false" ht="15.75" hidden="false" customHeight="false" outlineLevel="0" collapsed="false">
      <c r="A420" s="5" t="s">
        <v>966</v>
      </c>
      <c r="B420" s="5" t="s">
        <v>967</v>
      </c>
      <c r="C420" s="5" t="s">
        <v>187</v>
      </c>
      <c r="D420" s="5" t="s">
        <v>202</v>
      </c>
      <c r="E420" s="2"/>
    </row>
    <row r="421" customFormat="false" ht="15.75" hidden="false" customHeight="false" outlineLevel="0" collapsed="false">
      <c r="A421" s="5" t="s">
        <v>968</v>
      </c>
      <c r="B421" s="5" t="s">
        <v>969</v>
      </c>
      <c r="C421" s="5" t="s">
        <v>187</v>
      </c>
      <c r="D421" s="5" t="s">
        <v>196</v>
      </c>
      <c r="E421" s="2"/>
    </row>
    <row r="422" customFormat="false" ht="15.75" hidden="false" customHeight="false" outlineLevel="0" collapsed="false">
      <c r="A422" s="5" t="s">
        <v>970</v>
      </c>
      <c r="B422" s="5" t="s">
        <v>971</v>
      </c>
      <c r="C422" s="5" t="s">
        <v>187</v>
      </c>
      <c r="D422" s="5" t="s">
        <v>196</v>
      </c>
      <c r="E422" s="2"/>
    </row>
    <row r="423" customFormat="false" ht="15.75" hidden="false" customHeight="false" outlineLevel="0" collapsed="false">
      <c r="A423" s="5" t="s">
        <v>972</v>
      </c>
      <c r="B423" s="5" t="s">
        <v>973</v>
      </c>
      <c r="C423" s="5" t="s">
        <v>187</v>
      </c>
      <c r="D423" s="5" t="s">
        <v>208</v>
      </c>
      <c r="E423" s="2"/>
    </row>
    <row r="424" customFormat="false" ht="15.75" hidden="false" customHeight="false" outlineLevel="0" collapsed="false">
      <c r="A424" s="5" t="s">
        <v>974</v>
      </c>
      <c r="B424" s="5" t="s">
        <v>975</v>
      </c>
      <c r="C424" s="5" t="s">
        <v>180</v>
      </c>
      <c r="D424" s="5" t="s">
        <v>196</v>
      </c>
      <c r="E424" s="2"/>
    </row>
    <row r="425" customFormat="false" ht="15.75" hidden="false" customHeight="false" outlineLevel="0" collapsed="false">
      <c r="A425" s="5" t="s">
        <v>976</v>
      </c>
      <c r="B425" s="5" t="s">
        <v>977</v>
      </c>
      <c r="C425" s="5" t="s">
        <v>187</v>
      </c>
      <c r="D425" s="5" t="s">
        <v>188</v>
      </c>
      <c r="E425" s="2"/>
    </row>
    <row r="426" customFormat="false" ht="15.75" hidden="false" customHeight="false" outlineLevel="0" collapsed="false">
      <c r="A426" s="5" t="s">
        <v>978</v>
      </c>
      <c r="B426" s="5" t="s">
        <v>979</v>
      </c>
      <c r="C426" s="5" t="s">
        <v>187</v>
      </c>
      <c r="D426" s="5" t="s">
        <v>188</v>
      </c>
      <c r="E426" s="2"/>
    </row>
    <row r="427" customFormat="false" ht="15.75" hidden="false" customHeight="false" outlineLevel="0" collapsed="false">
      <c r="A427" s="5" t="s">
        <v>980</v>
      </c>
      <c r="B427" s="5" t="s">
        <v>981</v>
      </c>
      <c r="C427" s="5" t="s">
        <v>187</v>
      </c>
      <c r="D427" s="5" t="s">
        <v>257</v>
      </c>
      <c r="E427" s="2"/>
    </row>
    <row r="428" customFormat="false" ht="15.75" hidden="false" customHeight="false" outlineLevel="0" collapsed="false">
      <c r="A428" s="5" t="s">
        <v>982</v>
      </c>
      <c r="B428" s="5" t="s">
        <v>983</v>
      </c>
      <c r="C428" s="5" t="s">
        <v>187</v>
      </c>
      <c r="D428" s="5" t="s">
        <v>202</v>
      </c>
      <c r="E428" s="2"/>
    </row>
    <row r="429" customFormat="false" ht="15.75" hidden="false" customHeight="false" outlineLevel="0" collapsed="false">
      <c r="A429" s="5" t="s">
        <v>95</v>
      </c>
      <c r="B429" s="5" t="s">
        <v>96</v>
      </c>
      <c r="C429" s="5" t="s">
        <v>21</v>
      </c>
      <c r="D429" s="5" t="s">
        <v>15</v>
      </c>
      <c r="E429" s="2"/>
    </row>
    <row r="430" customFormat="false" ht="15.75" hidden="false" customHeight="false" outlineLevel="0" collapsed="false">
      <c r="A430" s="5" t="s">
        <v>984</v>
      </c>
      <c r="B430" s="5" t="s">
        <v>985</v>
      </c>
      <c r="C430" s="5" t="s">
        <v>187</v>
      </c>
      <c r="D430" s="5" t="s">
        <v>202</v>
      </c>
      <c r="E430" s="2"/>
    </row>
    <row r="431" customFormat="false" ht="15.75" hidden="false" customHeight="false" outlineLevel="0" collapsed="false">
      <c r="A431" s="5" t="s">
        <v>986</v>
      </c>
      <c r="B431" s="5" t="s">
        <v>987</v>
      </c>
      <c r="C431" s="5" t="s">
        <v>187</v>
      </c>
      <c r="D431" s="5" t="s">
        <v>196</v>
      </c>
      <c r="E431" s="2"/>
    </row>
    <row r="432" customFormat="false" ht="15.75" hidden="false" customHeight="false" outlineLevel="0" collapsed="false">
      <c r="A432" s="5" t="s">
        <v>988</v>
      </c>
      <c r="B432" s="5" t="s">
        <v>989</v>
      </c>
      <c r="C432" s="5" t="s">
        <v>187</v>
      </c>
      <c r="D432" s="5" t="s">
        <v>257</v>
      </c>
      <c r="E432" s="2"/>
    </row>
    <row r="433" customFormat="false" ht="15.75" hidden="false" customHeight="false" outlineLevel="0" collapsed="false">
      <c r="A433" s="5" t="s">
        <v>990</v>
      </c>
      <c r="B433" s="5" t="s">
        <v>991</v>
      </c>
      <c r="C433" s="5" t="s">
        <v>180</v>
      </c>
      <c r="D433" s="5" t="s">
        <v>15</v>
      </c>
      <c r="E433" s="2"/>
    </row>
    <row r="434" customFormat="false" ht="15.75" hidden="false" customHeight="false" outlineLevel="0" collapsed="false">
      <c r="A434" s="5" t="s">
        <v>992</v>
      </c>
      <c r="B434" s="5" t="s">
        <v>993</v>
      </c>
      <c r="C434" s="5" t="s">
        <v>187</v>
      </c>
      <c r="D434" s="5" t="s">
        <v>202</v>
      </c>
      <c r="E434" s="2"/>
    </row>
    <row r="435" customFormat="false" ht="15.75" hidden="false" customHeight="false" outlineLevel="0" collapsed="false">
      <c r="A435" s="5" t="s">
        <v>994</v>
      </c>
      <c r="B435" s="5" t="s">
        <v>995</v>
      </c>
      <c r="C435" s="5" t="s">
        <v>187</v>
      </c>
      <c r="D435" s="5" t="s">
        <v>208</v>
      </c>
      <c r="E435" s="2"/>
    </row>
    <row r="436" customFormat="false" ht="15.75" hidden="false" customHeight="false" outlineLevel="0" collapsed="false">
      <c r="A436" s="5" t="s">
        <v>996</v>
      </c>
      <c r="B436" s="5" t="s">
        <v>997</v>
      </c>
      <c r="C436" s="5" t="s">
        <v>187</v>
      </c>
      <c r="D436" s="5" t="s">
        <v>208</v>
      </c>
      <c r="E436" s="2"/>
    </row>
    <row r="437" customFormat="false" ht="15.75" hidden="false" customHeight="false" outlineLevel="0" collapsed="false">
      <c r="A437" s="5" t="s">
        <v>998</v>
      </c>
      <c r="B437" s="5" t="s">
        <v>999</v>
      </c>
      <c r="C437" s="5" t="s">
        <v>215</v>
      </c>
      <c r="D437" s="5" t="s">
        <v>184</v>
      </c>
      <c r="E437" s="2"/>
    </row>
    <row r="438" customFormat="false" ht="15.75" hidden="false" customHeight="false" outlineLevel="0" collapsed="false">
      <c r="A438" s="5" t="s">
        <v>1000</v>
      </c>
      <c r="B438" s="5" t="s">
        <v>1001</v>
      </c>
      <c r="C438" s="5" t="s">
        <v>187</v>
      </c>
      <c r="D438" s="5" t="s">
        <v>202</v>
      </c>
      <c r="E438" s="2"/>
    </row>
    <row r="439" customFormat="false" ht="15.75" hidden="false" customHeight="false" outlineLevel="0" collapsed="false">
      <c r="A439" s="5" t="s">
        <v>1002</v>
      </c>
      <c r="B439" s="5" t="s">
        <v>1003</v>
      </c>
      <c r="C439" s="5" t="s">
        <v>180</v>
      </c>
      <c r="D439" s="5" t="s">
        <v>15</v>
      </c>
      <c r="E439" s="2"/>
    </row>
    <row r="440" customFormat="false" ht="15.75" hidden="false" customHeight="false" outlineLevel="0" collapsed="false">
      <c r="A440" s="5" t="s">
        <v>1004</v>
      </c>
      <c r="B440" s="5" t="s">
        <v>1005</v>
      </c>
      <c r="C440" s="5" t="s">
        <v>187</v>
      </c>
      <c r="D440" s="5" t="s">
        <v>202</v>
      </c>
      <c r="E440" s="2"/>
    </row>
    <row r="441" customFormat="false" ht="15.75" hidden="false" customHeight="false" outlineLevel="0" collapsed="false">
      <c r="A441" s="5" t="s">
        <v>1006</v>
      </c>
      <c r="B441" s="5" t="s">
        <v>1007</v>
      </c>
      <c r="C441" s="5" t="s">
        <v>187</v>
      </c>
      <c r="D441" s="5" t="s">
        <v>202</v>
      </c>
      <c r="E441" s="2"/>
    </row>
    <row r="442" customFormat="false" ht="15.75" hidden="false" customHeight="false" outlineLevel="0" collapsed="false">
      <c r="A442" s="5" t="s">
        <v>1008</v>
      </c>
      <c r="B442" s="5" t="s">
        <v>1009</v>
      </c>
      <c r="C442" s="5" t="s">
        <v>187</v>
      </c>
      <c r="D442" s="5" t="s">
        <v>257</v>
      </c>
      <c r="E442" s="2"/>
    </row>
    <row r="443" customFormat="false" ht="15.75" hidden="false" customHeight="false" outlineLevel="0" collapsed="false">
      <c r="A443" s="5" t="s">
        <v>1010</v>
      </c>
      <c r="B443" s="5" t="s">
        <v>1011</v>
      </c>
      <c r="C443" s="5" t="s">
        <v>187</v>
      </c>
      <c r="D443" s="5" t="s">
        <v>202</v>
      </c>
      <c r="E443" s="2"/>
    </row>
    <row r="444" customFormat="false" ht="15.75" hidden="false" customHeight="false" outlineLevel="0" collapsed="false">
      <c r="A444" s="5" t="s">
        <v>97</v>
      </c>
      <c r="B444" s="5" t="s">
        <v>98</v>
      </c>
      <c r="C444" s="5" t="s">
        <v>35</v>
      </c>
      <c r="D444" s="5" t="s">
        <v>15</v>
      </c>
      <c r="E444" s="2"/>
    </row>
    <row r="445" customFormat="false" ht="15.75" hidden="false" customHeight="false" outlineLevel="0" collapsed="false">
      <c r="A445" s="5" t="s">
        <v>1012</v>
      </c>
      <c r="B445" s="5" t="s">
        <v>1013</v>
      </c>
      <c r="C445" s="5" t="s">
        <v>187</v>
      </c>
      <c r="D445" s="5" t="s">
        <v>202</v>
      </c>
      <c r="E445" s="2"/>
    </row>
    <row r="446" customFormat="false" ht="15.75" hidden="false" customHeight="false" outlineLevel="0" collapsed="false">
      <c r="A446" s="5" t="s">
        <v>99</v>
      </c>
      <c r="B446" s="5" t="s">
        <v>100</v>
      </c>
      <c r="C446" s="5" t="s">
        <v>101</v>
      </c>
      <c r="D446" s="5" t="s">
        <v>15</v>
      </c>
      <c r="E446" s="2"/>
    </row>
    <row r="447" customFormat="false" ht="15.75" hidden="false" customHeight="false" outlineLevel="0" collapsed="false">
      <c r="A447" s="5" t="s">
        <v>1014</v>
      </c>
      <c r="B447" s="5" t="s">
        <v>1015</v>
      </c>
      <c r="C447" s="5" t="s">
        <v>187</v>
      </c>
      <c r="D447" s="5" t="s">
        <v>202</v>
      </c>
      <c r="E447" s="2"/>
    </row>
    <row r="448" customFormat="false" ht="15.75" hidden="false" customHeight="false" outlineLevel="0" collapsed="false">
      <c r="A448" s="5" t="s">
        <v>1016</v>
      </c>
      <c r="B448" s="5" t="s">
        <v>1017</v>
      </c>
      <c r="C448" s="5" t="s">
        <v>187</v>
      </c>
      <c r="D448" s="5" t="s">
        <v>202</v>
      </c>
      <c r="E448" s="2"/>
    </row>
    <row r="449" customFormat="false" ht="15.75" hidden="false" customHeight="false" outlineLevel="0" collapsed="false">
      <c r="A449" s="5" t="s">
        <v>1018</v>
      </c>
      <c r="B449" s="5" t="s">
        <v>1019</v>
      </c>
      <c r="C449" s="5" t="s">
        <v>180</v>
      </c>
      <c r="D449" s="5" t="s">
        <v>199</v>
      </c>
      <c r="E449" s="2"/>
    </row>
    <row r="450" customFormat="false" ht="15.75" hidden="false" customHeight="false" outlineLevel="0" collapsed="false">
      <c r="A450" s="5" t="s">
        <v>1020</v>
      </c>
      <c r="B450" s="5" t="s">
        <v>1021</v>
      </c>
      <c r="C450" s="5" t="s">
        <v>380</v>
      </c>
      <c r="D450" s="5" t="s">
        <v>184</v>
      </c>
      <c r="E450" s="2"/>
    </row>
    <row r="451" customFormat="false" ht="15.75" hidden="false" customHeight="false" outlineLevel="0" collapsed="false">
      <c r="A451" s="5" t="s">
        <v>1022</v>
      </c>
      <c r="B451" s="5" t="s">
        <v>1023</v>
      </c>
      <c r="C451" s="5" t="s">
        <v>1024</v>
      </c>
      <c r="D451" s="5" t="s">
        <v>15</v>
      </c>
      <c r="E451" s="2"/>
    </row>
    <row r="452" customFormat="false" ht="15.75" hidden="false" customHeight="false" outlineLevel="0" collapsed="false">
      <c r="A452" s="5" t="s">
        <v>1025</v>
      </c>
      <c r="B452" s="5" t="s">
        <v>1026</v>
      </c>
      <c r="C452" s="5" t="s">
        <v>187</v>
      </c>
      <c r="D452" s="5" t="s">
        <v>202</v>
      </c>
      <c r="E452" s="2"/>
    </row>
    <row r="453" customFormat="false" ht="15.75" hidden="false" customHeight="false" outlineLevel="0" collapsed="false">
      <c r="A453" s="5" t="s">
        <v>1027</v>
      </c>
      <c r="B453" s="5" t="s">
        <v>1028</v>
      </c>
      <c r="C453" s="5" t="s">
        <v>180</v>
      </c>
      <c r="D453" s="5" t="s">
        <v>196</v>
      </c>
      <c r="E453" s="2"/>
    </row>
    <row r="454" customFormat="false" ht="15.75" hidden="false" customHeight="false" outlineLevel="0" collapsed="false">
      <c r="A454" s="5" t="s">
        <v>1029</v>
      </c>
      <c r="B454" s="5" t="s">
        <v>1030</v>
      </c>
      <c r="C454" s="5" t="s">
        <v>187</v>
      </c>
      <c r="D454" s="5" t="s">
        <v>196</v>
      </c>
      <c r="E454" s="2"/>
    </row>
    <row r="455" customFormat="false" ht="15.75" hidden="false" customHeight="false" outlineLevel="0" collapsed="false">
      <c r="A455" s="5" t="s">
        <v>1031</v>
      </c>
      <c r="B455" s="5" t="s">
        <v>1032</v>
      </c>
      <c r="C455" s="5" t="s">
        <v>187</v>
      </c>
      <c r="D455" s="5" t="s">
        <v>188</v>
      </c>
      <c r="E455" s="2"/>
    </row>
    <row r="456" customFormat="false" ht="15.75" hidden="false" customHeight="false" outlineLevel="0" collapsed="false">
      <c r="A456" s="5" t="s">
        <v>1033</v>
      </c>
      <c r="B456" s="5" t="s">
        <v>1034</v>
      </c>
      <c r="C456" s="5" t="s">
        <v>187</v>
      </c>
      <c r="D456" s="5" t="s">
        <v>202</v>
      </c>
      <c r="E456" s="2"/>
    </row>
    <row r="457" customFormat="false" ht="15.75" hidden="false" customHeight="false" outlineLevel="0" collapsed="false">
      <c r="A457" s="5" t="s">
        <v>1035</v>
      </c>
      <c r="B457" s="5" t="s">
        <v>1036</v>
      </c>
      <c r="C457" s="5" t="s">
        <v>187</v>
      </c>
      <c r="D457" s="5" t="s">
        <v>202</v>
      </c>
      <c r="E457" s="2"/>
    </row>
    <row r="458" customFormat="false" ht="15.75" hidden="false" customHeight="false" outlineLevel="0" collapsed="false">
      <c r="A458" s="5" t="s">
        <v>1037</v>
      </c>
      <c r="B458" s="5" t="s">
        <v>1038</v>
      </c>
      <c r="C458" s="5" t="s">
        <v>187</v>
      </c>
      <c r="D458" s="5" t="s">
        <v>202</v>
      </c>
      <c r="E458" s="2"/>
    </row>
    <row r="459" customFormat="false" ht="15.75" hidden="false" customHeight="false" outlineLevel="0" collapsed="false">
      <c r="A459" s="5" t="s">
        <v>1039</v>
      </c>
      <c r="B459" s="5" t="s">
        <v>1040</v>
      </c>
      <c r="C459" s="5" t="s">
        <v>715</v>
      </c>
      <c r="D459" s="5" t="s">
        <v>196</v>
      </c>
      <c r="E459" s="2"/>
    </row>
    <row r="460" customFormat="false" ht="15.75" hidden="false" customHeight="false" outlineLevel="0" collapsed="false">
      <c r="A460" s="5" t="s">
        <v>102</v>
      </c>
      <c r="B460" s="5" t="s">
        <v>103</v>
      </c>
      <c r="C460" s="5" t="s">
        <v>35</v>
      </c>
      <c r="D460" s="5" t="s">
        <v>15</v>
      </c>
      <c r="E460" s="2"/>
    </row>
    <row r="461" customFormat="false" ht="15.75" hidden="false" customHeight="false" outlineLevel="0" collapsed="false">
      <c r="A461" s="5" t="s">
        <v>1041</v>
      </c>
      <c r="B461" s="5" t="s">
        <v>1042</v>
      </c>
      <c r="C461" s="5" t="s">
        <v>187</v>
      </c>
      <c r="D461" s="5" t="s">
        <v>184</v>
      </c>
      <c r="E461" s="2"/>
    </row>
    <row r="462" customFormat="false" ht="15.75" hidden="false" customHeight="false" outlineLevel="0" collapsed="false">
      <c r="A462" s="5" t="s">
        <v>1043</v>
      </c>
      <c r="B462" s="5" t="s">
        <v>1044</v>
      </c>
      <c r="C462" s="5" t="s">
        <v>1045</v>
      </c>
      <c r="D462" s="5" t="s">
        <v>196</v>
      </c>
      <c r="E462" s="2"/>
    </row>
    <row r="463" customFormat="false" ht="15.75" hidden="false" customHeight="false" outlineLevel="0" collapsed="false">
      <c r="A463" s="5" t="s">
        <v>1046</v>
      </c>
      <c r="B463" s="5" t="s">
        <v>1047</v>
      </c>
      <c r="C463" s="5" t="s">
        <v>187</v>
      </c>
      <c r="D463" s="5" t="s">
        <v>345</v>
      </c>
      <c r="E463" s="2"/>
    </row>
    <row r="464" customFormat="false" ht="15.75" hidden="false" customHeight="false" outlineLevel="0" collapsed="false">
      <c r="A464" s="5" t="s">
        <v>1048</v>
      </c>
      <c r="B464" s="5" t="s">
        <v>1049</v>
      </c>
      <c r="C464" s="5" t="s">
        <v>187</v>
      </c>
      <c r="D464" s="5" t="s">
        <v>184</v>
      </c>
      <c r="E464" s="2"/>
    </row>
    <row r="465" customFormat="false" ht="15.75" hidden="false" customHeight="false" outlineLevel="0" collapsed="false">
      <c r="A465" s="5" t="s">
        <v>1050</v>
      </c>
      <c r="B465" s="5" t="s">
        <v>1051</v>
      </c>
      <c r="C465" s="5" t="s">
        <v>187</v>
      </c>
      <c r="D465" s="5" t="s">
        <v>199</v>
      </c>
      <c r="E465" s="2"/>
    </row>
    <row r="466" customFormat="false" ht="15.75" hidden="false" customHeight="false" outlineLevel="0" collapsed="false">
      <c r="A466" s="5" t="s">
        <v>1052</v>
      </c>
      <c r="B466" s="5" t="s">
        <v>1053</v>
      </c>
      <c r="C466" s="5" t="s">
        <v>187</v>
      </c>
      <c r="D466" s="5" t="s">
        <v>208</v>
      </c>
      <c r="E466" s="2"/>
    </row>
    <row r="467" customFormat="false" ht="15.75" hidden="false" customHeight="false" outlineLevel="0" collapsed="false">
      <c r="A467" s="5" t="s">
        <v>1054</v>
      </c>
      <c r="B467" s="5" t="s">
        <v>1055</v>
      </c>
      <c r="C467" s="5" t="s">
        <v>215</v>
      </c>
      <c r="D467" s="5" t="s">
        <v>184</v>
      </c>
      <c r="E467" s="2"/>
    </row>
    <row r="468" customFormat="false" ht="15.75" hidden="false" customHeight="false" outlineLevel="0" collapsed="false">
      <c r="A468" s="5" t="s">
        <v>1056</v>
      </c>
      <c r="B468" s="5" t="s">
        <v>1057</v>
      </c>
      <c r="C468" s="5" t="s">
        <v>180</v>
      </c>
      <c r="D468" s="5" t="s">
        <v>15</v>
      </c>
      <c r="E468" s="2"/>
    </row>
    <row r="469" customFormat="false" ht="15.75" hidden="false" customHeight="false" outlineLevel="0" collapsed="false">
      <c r="A469" s="5" t="s">
        <v>104</v>
      </c>
      <c r="B469" s="5" t="s">
        <v>105</v>
      </c>
      <c r="C469" s="5" t="s">
        <v>46</v>
      </c>
      <c r="D469" s="5" t="s">
        <v>15</v>
      </c>
      <c r="E469" s="2"/>
    </row>
    <row r="470" customFormat="false" ht="15.75" hidden="false" customHeight="false" outlineLevel="0" collapsed="false">
      <c r="A470" s="5" t="s">
        <v>1058</v>
      </c>
      <c r="B470" s="5" t="s">
        <v>1059</v>
      </c>
      <c r="C470" s="5" t="s">
        <v>187</v>
      </c>
      <c r="D470" s="5" t="s">
        <v>188</v>
      </c>
      <c r="E470" s="2"/>
    </row>
    <row r="471" customFormat="false" ht="15.75" hidden="false" customHeight="false" outlineLevel="0" collapsed="false">
      <c r="A471" s="5" t="s">
        <v>1058</v>
      </c>
      <c r="B471" s="5" t="s">
        <v>1060</v>
      </c>
      <c r="C471" s="5" t="s">
        <v>627</v>
      </c>
      <c r="D471" s="5" t="s">
        <v>15</v>
      </c>
      <c r="E471" s="2"/>
    </row>
    <row r="472" customFormat="false" ht="15.75" hidden="false" customHeight="false" outlineLevel="0" collapsed="false">
      <c r="A472" s="5" t="s">
        <v>1061</v>
      </c>
      <c r="B472" s="5" t="s">
        <v>1062</v>
      </c>
      <c r="C472" s="5" t="s">
        <v>187</v>
      </c>
      <c r="D472" s="5" t="s">
        <v>188</v>
      </c>
      <c r="E472" s="2"/>
    </row>
    <row r="473" customFormat="false" ht="15.75" hidden="false" customHeight="false" outlineLevel="0" collapsed="false">
      <c r="A473" s="5" t="s">
        <v>1063</v>
      </c>
      <c r="B473" s="5" t="s">
        <v>1064</v>
      </c>
      <c r="C473" s="5" t="s">
        <v>187</v>
      </c>
      <c r="D473" s="5" t="s">
        <v>196</v>
      </c>
      <c r="E473" s="2"/>
    </row>
    <row r="474" customFormat="false" ht="15.75" hidden="false" customHeight="false" outlineLevel="0" collapsed="false">
      <c r="A474" s="5" t="s">
        <v>1065</v>
      </c>
      <c r="B474" s="5" t="s">
        <v>1066</v>
      </c>
      <c r="C474" s="5" t="s">
        <v>187</v>
      </c>
      <c r="D474" s="5" t="s">
        <v>208</v>
      </c>
      <c r="E474" s="2"/>
    </row>
    <row r="475" customFormat="false" ht="15.75" hidden="false" customHeight="false" outlineLevel="0" collapsed="false">
      <c r="A475" s="5" t="s">
        <v>1067</v>
      </c>
      <c r="B475" s="5" t="s">
        <v>1068</v>
      </c>
      <c r="C475" s="5" t="s">
        <v>187</v>
      </c>
      <c r="D475" s="5" t="s">
        <v>202</v>
      </c>
      <c r="E475" s="2"/>
    </row>
    <row r="476" customFormat="false" ht="15.75" hidden="false" customHeight="false" outlineLevel="0" collapsed="false">
      <c r="A476" s="5" t="s">
        <v>1069</v>
      </c>
      <c r="B476" s="5" t="s">
        <v>1070</v>
      </c>
      <c r="C476" s="5" t="s">
        <v>180</v>
      </c>
      <c r="D476" s="5" t="s">
        <v>15</v>
      </c>
      <c r="E476" s="2"/>
    </row>
    <row r="477" customFormat="false" ht="15.75" hidden="false" customHeight="false" outlineLevel="0" collapsed="false">
      <c r="A477" s="5" t="s">
        <v>1071</v>
      </c>
      <c r="B477" s="5" t="s">
        <v>1072</v>
      </c>
      <c r="C477" s="5" t="s">
        <v>187</v>
      </c>
      <c r="D477" s="5" t="s">
        <v>202</v>
      </c>
      <c r="E477" s="2"/>
    </row>
    <row r="478" customFormat="false" ht="15.75" hidden="false" customHeight="false" outlineLevel="0" collapsed="false">
      <c r="A478" s="5" t="s">
        <v>1073</v>
      </c>
      <c r="B478" s="5" t="s">
        <v>1074</v>
      </c>
      <c r="C478" s="5" t="s">
        <v>187</v>
      </c>
      <c r="D478" s="5" t="s">
        <v>202</v>
      </c>
      <c r="E478" s="2"/>
    </row>
    <row r="479" customFormat="false" ht="15.75" hidden="false" customHeight="false" outlineLevel="0" collapsed="false">
      <c r="A479" s="5" t="s">
        <v>1075</v>
      </c>
      <c r="B479" s="5" t="s">
        <v>1076</v>
      </c>
      <c r="C479" s="5" t="s">
        <v>187</v>
      </c>
      <c r="D479" s="5" t="s">
        <v>202</v>
      </c>
      <c r="E479" s="2"/>
    </row>
    <row r="480" customFormat="false" ht="15.75" hidden="false" customHeight="false" outlineLevel="0" collapsed="false">
      <c r="A480" s="5" t="s">
        <v>1077</v>
      </c>
      <c r="B480" s="5" t="s">
        <v>1078</v>
      </c>
      <c r="C480" s="5" t="s">
        <v>180</v>
      </c>
      <c r="D480" s="5" t="s">
        <v>15</v>
      </c>
      <c r="E480" s="2"/>
    </row>
    <row r="481" customFormat="false" ht="15.75" hidden="false" customHeight="false" outlineLevel="0" collapsed="false">
      <c r="A481" s="5" t="s">
        <v>1079</v>
      </c>
      <c r="B481" s="5" t="s">
        <v>1080</v>
      </c>
      <c r="C481" s="5" t="s">
        <v>180</v>
      </c>
      <c r="D481" s="5" t="s">
        <v>199</v>
      </c>
      <c r="E481" s="2"/>
    </row>
    <row r="482" customFormat="false" ht="15.75" hidden="false" customHeight="false" outlineLevel="0" collapsed="false">
      <c r="A482" s="5" t="s">
        <v>1081</v>
      </c>
      <c r="B482" s="5" t="s">
        <v>1082</v>
      </c>
      <c r="C482" s="5" t="s">
        <v>187</v>
      </c>
      <c r="D482" s="5" t="s">
        <v>208</v>
      </c>
      <c r="E482" s="2"/>
    </row>
    <row r="483" customFormat="false" ht="15.75" hidden="false" customHeight="false" outlineLevel="0" collapsed="false">
      <c r="A483" s="5" t="s">
        <v>1083</v>
      </c>
      <c r="B483" s="5" t="s">
        <v>1084</v>
      </c>
      <c r="C483" s="5" t="s">
        <v>187</v>
      </c>
      <c r="D483" s="5" t="s">
        <v>196</v>
      </c>
      <c r="E483" s="2"/>
    </row>
    <row r="484" customFormat="false" ht="15.75" hidden="false" customHeight="false" outlineLevel="0" collapsed="false">
      <c r="A484" s="5" t="s">
        <v>1085</v>
      </c>
      <c r="B484" s="5" t="s">
        <v>1086</v>
      </c>
      <c r="C484" s="5" t="s">
        <v>187</v>
      </c>
      <c r="D484" s="5" t="s">
        <v>188</v>
      </c>
      <c r="E484" s="2"/>
    </row>
    <row r="485" customFormat="false" ht="15.75" hidden="false" customHeight="false" outlineLevel="0" collapsed="false">
      <c r="A485" s="5" t="s">
        <v>1087</v>
      </c>
      <c r="B485" s="5" t="s">
        <v>1088</v>
      </c>
      <c r="C485" s="5" t="s">
        <v>187</v>
      </c>
      <c r="D485" s="5" t="s">
        <v>188</v>
      </c>
      <c r="E485" s="2"/>
    </row>
    <row r="486" customFormat="false" ht="15.75" hidden="false" customHeight="false" outlineLevel="0" collapsed="false">
      <c r="A486" s="5" t="s">
        <v>1089</v>
      </c>
      <c r="B486" s="5" t="s">
        <v>1090</v>
      </c>
      <c r="C486" s="5" t="s">
        <v>187</v>
      </c>
      <c r="D486" s="5" t="s">
        <v>188</v>
      </c>
      <c r="E486" s="2"/>
    </row>
    <row r="487" customFormat="false" ht="15.75" hidden="false" customHeight="false" outlineLevel="0" collapsed="false">
      <c r="A487" s="5" t="s">
        <v>1091</v>
      </c>
      <c r="B487" s="5" t="s">
        <v>1092</v>
      </c>
      <c r="C487" s="5" t="s">
        <v>180</v>
      </c>
      <c r="D487" s="5" t="s">
        <v>196</v>
      </c>
      <c r="E487" s="2"/>
    </row>
    <row r="488" customFormat="false" ht="15.75" hidden="false" customHeight="false" outlineLevel="0" collapsed="false">
      <c r="A488" s="5" t="s">
        <v>1093</v>
      </c>
      <c r="B488" s="5" t="s">
        <v>1094</v>
      </c>
      <c r="C488" s="5" t="s">
        <v>187</v>
      </c>
      <c r="D488" s="5" t="s">
        <v>257</v>
      </c>
      <c r="E488" s="2"/>
    </row>
    <row r="489" customFormat="false" ht="15.75" hidden="false" customHeight="false" outlineLevel="0" collapsed="false">
      <c r="A489" s="5" t="s">
        <v>1095</v>
      </c>
      <c r="B489" s="5" t="s">
        <v>1096</v>
      </c>
      <c r="C489" s="5" t="s">
        <v>191</v>
      </c>
      <c r="D489" s="5" t="s">
        <v>196</v>
      </c>
      <c r="E489" s="2"/>
    </row>
    <row r="490" customFormat="false" ht="15.75" hidden="false" customHeight="false" outlineLevel="0" collapsed="false">
      <c r="A490" s="5" t="s">
        <v>1097</v>
      </c>
      <c r="B490" s="5" t="s">
        <v>1098</v>
      </c>
      <c r="C490" s="5" t="s">
        <v>266</v>
      </c>
      <c r="D490" s="5" t="s">
        <v>196</v>
      </c>
      <c r="E490" s="2"/>
    </row>
    <row r="491" customFormat="false" ht="15.75" hidden="false" customHeight="false" outlineLevel="0" collapsed="false">
      <c r="A491" s="5" t="s">
        <v>1099</v>
      </c>
      <c r="B491" s="5" t="s">
        <v>1100</v>
      </c>
      <c r="C491" s="5" t="s">
        <v>180</v>
      </c>
      <c r="D491" s="5" t="s">
        <v>15</v>
      </c>
      <c r="E491" s="2"/>
    </row>
    <row r="492" customFormat="false" ht="15.75" hidden="false" customHeight="false" outlineLevel="0" collapsed="false">
      <c r="A492" s="5" t="s">
        <v>1101</v>
      </c>
      <c r="B492" s="5" t="s">
        <v>1102</v>
      </c>
      <c r="C492" s="5" t="s">
        <v>187</v>
      </c>
      <c r="D492" s="5" t="s">
        <v>184</v>
      </c>
      <c r="E492" s="2"/>
    </row>
    <row r="493" customFormat="false" ht="15.75" hidden="false" customHeight="false" outlineLevel="0" collapsed="false">
      <c r="A493" s="5" t="s">
        <v>1103</v>
      </c>
      <c r="B493" s="5" t="s">
        <v>1104</v>
      </c>
      <c r="C493" s="5" t="s">
        <v>183</v>
      </c>
      <c r="D493" s="5" t="s">
        <v>184</v>
      </c>
      <c r="E493" s="2"/>
    </row>
    <row r="494" customFormat="false" ht="15.75" hidden="false" customHeight="false" outlineLevel="0" collapsed="false">
      <c r="A494" s="5" t="s">
        <v>1105</v>
      </c>
      <c r="B494" s="5" t="s">
        <v>1106</v>
      </c>
      <c r="C494" s="5" t="s">
        <v>180</v>
      </c>
      <c r="D494" s="5" t="s">
        <v>196</v>
      </c>
      <c r="E494" s="2"/>
    </row>
    <row r="495" customFormat="false" ht="15.75" hidden="false" customHeight="false" outlineLevel="0" collapsed="false">
      <c r="A495" s="5" t="s">
        <v>1107</v>
      </c>
      <c r="B495" s="5" t="s">
        <v>1108</v>
      </c>
      <c r="C495" s="5" t="s">
        <v>187</v>
      </c>
      <c r="D495" s="5" t="s">
        <v>199</v>
      </c>
      <c r="E495" s="2"/>
    </row>
    <row r="496" customFormat="false" ht="15.75" hidden="false" customHeight="false" outlineLevel="0" collapsed="false">
      <c r="A496" s="5" t="s">
        <v>1109</v>
      </c>
      <c r="B496" s="5" t="s">
        <v>1110</v>
      </c>
      <c r="C496" s="5" t="s">
        <v>180</v>
      </c>
      <c r="D496" s="5" t="s">
        <v>15</v>
      </c>
      <c r="E496" s="2"/>
    </row>
    <row r="497" customFormat="false" ht="15.75" hidden="false" customHeight="false" outlineLevel="0" collapsed="false">
      <c r="A497" s="5" t="s">
        <v>1111</v>
      </c>
      <c r="B497" s="5" t="s">
        <v>1112</v>
      </c>
      <c r="C497" s="5" t="s">
        <v>180</v>
      </c>
      <c r="D497" s="5" t="s">
        <v>15</v>
      </c>
      <c r="E497" s="2"/>
    </row>
    <row r="498" customFormat="false" ht="15.75" hidden="false" customHeight="false" outlineLevel="0" collapsed="false">
      <c r="A498" s="5" t="s">
        <v>1113</v>
      </c>
      <c r="B498" s="5" t="s">
        <v>1114</v>
      </c>
      <c r="C498" s="5" t="s">
        <v>187</v>
      </c>
      <c r="D498" s="5" t="s">
        <v>345</v>
      </c>
      <c r="E498" s="2"/>
    </row>
    <row r="499" customFormat="false" ht="15.75" hidden="false" customHeight="false" outlineLevel="0" collapsed="false">
      <c r="A499" s="5" t="s">
        <v>1115</v>
      </c>
      <c r="B499" s="5" t="s">
        <v>1116</v>
      </c>
      <c r="C499" s="5" t="s">
        <v>187</v>
      </c>
      <c r="D499" s="5" t="s">
        <v>202</v>
      </c>
      <c r="E499" s="2"/>
    </row>
    <row r="500" customFormat="false" ht="15.75" hidden="false" customHeight="false" outlineLevel="0" collapsed="false">
      <c r="A500" s="5" t="s">
        <v>1117</v>
      </c>
      <c r="B500" s="5" t="s">
        <v>1118</v>
      </c>
      <c r="C500" s="5" t="s">
        <v>187</v>
      </c>
      <c r="D500" s="5" t="s">
        <v>202</v>
      </c>
      <c r="E500" s="2"/>
    </row>
    <row r="501" customFormat="false" ht="15.75" hidden="false" customHeight="false" outlineLevel="0" collapsed="false">
      <c r="A501" s="5" t="s">
        <v>1119</v>
      </c>
      <c r="B501" s="5" t="s">
        <v>1120</v>
      </c>
      <c r="C501" s="5" t="s">
        <v>187</v>
      </c>
      <c r="D501" s="5" t="s">
        <v>196</v>
      </c>
      <c r="E501" s="2"/>
    </row>
    <row r="502" customFormat="false" ht="15.75" hidden="false" customHeight="false" outlineLevel="0" collapsed="false">
      <c r="A502" s="5" t="s">
        <v>1121</v>
      </c>
      <c r="B502" s="5" t="s">
        <v>1122</v>
      </c>
      <c r="C502" s="5" t="s">
        <v>183</v>
      </c>
      <c r="D502" s="5" t="s">
        <v>184</v>
      </c>
      <c r="E502" s="2"/>
    </row>
    <row r="503" customFormat="false" ht="15.75" hidden="false" customHeight="false" outlineLevel="0" collapsed="false">
      <c r="A503" s="5" t="s">
        <v>1123</v>
      </c>
      <c r="B503" s="5" t="s">
        <v>1124</v>
      </c>
      <c r="C503" s="5" t="s">
        <v>187</v>
      </c>
      <c r="D503" s="5" t="s">
        <v>196</v>
      </c>
      <c r="E503" s="2"/>
    </row>
    <row r="504" customFormat="false" ht="15.75" hidden="false" customHeight="false" outlineLevel="0" collapsed="false">
      <c r="A504" s="5" t="s">
        <v>1125</v>
      </c>
      <c r="B504" s="5" t="s">
        <v>1126</v>
      </c>
      <c r="C504" s="5" t="s">
        <v>187</v>
      </c>
      <c r="D504" s="5" t="s">
        <v>202</v>
      </c>
      <c r="E504" s="2"/>
    </row>
    <row r="505" customFormat="false" ht="15.75" hidden="false" customHeight="false" outlineLevel="0" collapsed="false">
      <c r="A505" s="5" t="s">
        <v>1127</v>
      </c>
      <c r="B505" s="5" t="s">
        <v>1128</v>
      </c>
      <c r="C505" s="5" t="s">
        <v>180</v>
      </c>
      <c r="D505" s="5" t="s">
        <v>199</v>
      </c>
      <c r="E505" s="2"/>
    </row>
    <row r="506" customFormat="false" ht="15.75" hidden="false" customHeight="false" outlineLevel="0" collapsed="false">
      <c r="A506" s="5" t="s">
        <v>1129</v>
      </c>
      <c r="B506" s="5" t="s">
        <v>1130</v>
      </c>
      <c r="C506" s="5" t="s">
        <v>180</v>
      </c>
      <c r="D506" s="5" t="s">
        <v>199</v>
      </c>
      <c r="E506" s="2"/>
    </row>
    <row r="507" customFormat="false" ht="15.75" hidden="false" customHeight="false" outlineLevel="0" collapsed="false">
      <c r="A507" s="5" t="s">
        <v>1131</v>
      </c>
      <c r="B507" s="5" t="s">
        <v>1132</v>
      </c>
      <c r="C507" s="5" t="s">
        <v>266</v>
      </c>
      <c r="D507" s="5" t="s">
        <v>196</v>
      </c>
      <c r="E507" s="2"/>
    </row>
    <row r="508" customFormat="false" ht="15.75" hidden="false" customHeight="false" outlineLevel="0" collapsed="false">
      <c r="A508" s="5" t="s">
        <v>1133</v>
      </c>
      <c r="B508" s="5" t="s">
        <v>1134</v>
      </c>
      <c r="C508" s="5" t="s">
        <v>187</v>
      </c>
      <c r="D508" s="5" t="s">
        <v>202</v>
      </c>
      <c r="E508" s="2"/>
    </row>
    <row r="509" customFormat="false" ht="15.75" hidden="false" customHeight="false" outlineLevel="0" collapsed="false">
      <c r="A509" s="5" t="s">
        <v>1135</v>
      </c>
      <c r="B509" s="5" t="s">
        <v>1136</v>
      </c>
      <c r="C509" s="5" t="s">
        <v>187</v>
      </c>
      <c r="D509" s="5" t="s">
        <v>202</v>
      </c>
      <c r="E509" s="2"/>
    </row>
    <row r="510" customFormat="false" ht="15.75" hidden="false" customHeight="false" outlineLevel="0" collapsed="false">
      <c r="A510" s="5" t="s">
        <v>1137</v>
      </c>
      <c r="B510" s="5" t="s">
        <v>1138</v>
      </c>
      <c r="C510" s="5" t="s">
        <v>187</v>
      </c>
      <c r="D510" s="5" t="s">
        <v>257</v>
      </c>
      <c r="E510" s="2"/>
    </row>
    <row r="511" customFormat="false" ht="15.75" hidden="false" customHeight="false" outlineLevel="0" collapsed="false">
      <c r="A511" s="5" t="s">
        <v>1139</v>
      </c>
      <c r="B511" s="5" t="s">
        <v>1140</v>
      </c>
      <c r="C511" s="5" t="s">
        <v>187</v>
      </c>
      <c r="D511" s="5" t="s">
        <v>208</v>
      </c>
      <c r="E511" s="2"/>
    </row>
    <row r="512" customFormat="false" ht="15.75" hidden="false" customHeight="false" outlineLevel="0" collapsed="false">
      <c r="A512" s="5" t="s">
        <v>1141</v>
      </c>
      <c r="B512" s="5" t="s">
        <v>1142</v>
      </c>
      <c r="C512" s="5" t="s">
        <v>187</v>
      </c>
      <c r="D512" s="5" t="s">
        <v>208</v>
      </c>
      <c r="E512" s="2"/>
    </row>
    <row r="513" customFormat="false" ht="15.75" hidden="false" customHeight="false" outlineLevel="0" collapsed="false">
      <c r="A513" s="5" t="s">
        <v>1143</v>
      </c>
      <c r="B513" s="5" t="s">
        <v>1144</v>
      </c>
      <c r="C513" s="5" t="s">
        <v>187</v>
      </c>
      <c r="D513" s="5" t="s">
        <v>202</v>
      </c>
      <c r="E513" s="2"/>
    </row>
    <row r="514" customFormat="false" ht="15.75" hidden="false" customHeight="false" outlineLevel="0" collapsed="false">
      <c r="A514" s="5" t="s">
        <v>1145</v>
      </c>
      <c r="B514" s="5" t="s">
        <v>1146</v>
      </c>
      <c r="C514" s="5" t="s">
        <v>187</v>
      </c>
      <c r="D514" s="5" t="s">
        <v>202</v>
      </c>
      <c r="E514" s="2"/>
    </row>
    <row r="515" customFormat="false" ht="15.75" hidden="false" customHeight="false" outlineLevel="0" collapsed="false">
      <c r="A515" s="5" t="s">
        <v>106</v>
      </c>
      <c r="B515" s="5" t="s">
        <v>107</v>
      </c>
      <c r="C515" s="5" t="s">
        <v>35</v>
      </c>
      <c r="D515" s="5" t="s">
        <v>15</v>
      </c>
      <c r="E515" s="2"/>
    </row>
    <row r="516" customFormat="false" ht="15.75" hidden="false" customHeight="false" outlineLevel="0" collapsed="false">
      <c r="A516" s="5" t="s">
        <v>1147</v>
      </c>
      <c r="B516" s="5" t="s">
        <v>1148</v>
      </c>
      <c r="C516" s="5" t="s">
        <v>266</v>
      </c>
      <c r="D516" s="5" t="s">
        <v>196</v>
      </c>
      <c r="E516" s="2"/>
    </row>
    <row r="517" customFormat="false" ht="15.75" hidden="false" customHeight="false" outlineLevel="0" collapsed="false">
      <c r="A517" s="5" t="s">
        <v>1149</v>
      </c>
      <c r="B517" s="5" t="s">
        <v>1150</v>
      </c>
      <c r="C517" s="5" t="s">
        <v>266</v>
      </c>
      <c r="D517" s="5" t="s">
        <v>196</v>
      </c>
      <c r="E517" s="2"/>
    </row>
    <row r="518" customFormat="false" ht="15.75" hidden="false" customHeight="false" outlineLevel="0" collapsed="false">
      <c r="A518" s="5" t="s">
        <v>1151</v>
      </c>
      <c r="B518" s="5" t="s">
        <v>1152</v>
      </c>
      <c r="C518" s="5" t="s">
        <v>266</v>
      </c>
      <c r="D518" s="5" t="s">
        <v>196</v>
      </c>
      <c r="E518" s="2"/>
    </row>
    <row r="519" customFormat="false" ht="15.75" hidden="false" customHeight="false" outlineLevel="0" collapsed="false">
      <c r="A519" s="5" t="s">
        <v>1153</v>
      </c>
      <c r="B519" s="5" t="s">
        <v>1154</v>
      </c>
      <c r="C519" s="5" t="s">
        <v>187</v>
      </c>
      <c r="D519" s="5" t="s">
        <v>196</v>
      </c>
      <c r="E519" s="2"/>
    </row>
    <row r="520" customFormat="false" ht="15.75" hidden="false" customHeight="false" outlineLevel="0" collapsed="false">
      <c r="A520" s="5" t="s">
        <v>1155</v>
      </c>
      <c r="B520" s="5" t="s">
        <v>1156</v>
      </c>
      <c r="C520" s="5" t="s">
        <v>266</v>
      </c>
      <c r="D520" s="5" t="s">
        <v>196</v>
      </c>
      <c r="E520" s="2"/>
    </row>
    <row r="521" customFormat="false" ht="15.75" hidden="false" customHeight="false" outlineLevel="0" collapsed="false">
      <c r="A521" s="5" t="s">
        <v>1157</v>
      </c>
      <c r="B521" s="5" t="s">
        <v>1158</v>
      </c>
      <c r="C521" s="5" t="s">
        <v>287</v>
      </c>
      <c r="D521" s="5" t="s">
        <v>208</v>
      </c>
      <c r="E521" s="2"/>
    </row>
    <row r="522" customFormat="false" ht="15.75" hidden="false" customHeight="false" outlineLevel="0" collapsed="false">
      <c r="A522" s="5" t="s">
        <v>1159</v>
      </c>
      <c r="B522" s="5" t="s">
        <v>1160</v>
      </c>
      <c r="C522" s="5" t="s">
        <v>191</v>
      </c>
      <c r="D522" s="5" t="s">
        <v>15</v>
      </c>
      <c r="E522" s="2"/>
    </row>
    <row r="523" customFormat="false" ht="15.75" hidden="false" customHeight="false" outlineLevel="0" collapsed="false">
      <c r="A523" s="5" t="s">
        <v>1161</v>
      </c>
      <c r="B523" s="5" t="s">
        <v>1162</v>
      </c>
      <c r="C523" s="5" t="s">
        <v>187</v>
      </c>
      <c r="D523" s="5" t="s">
        <v>202</v>
      </c>
      <c r="E523" s="2"/>
    </row>
    <row r="524" customFormat="false" ht="15.75" hidden="false" customHeight="false" outlineLevel="0" collapsed="false">
      <c r="A524" s="5" t="s">
        <v>1163</v>
      </c>
      <c r="B524" s="5" t="s">
        <v>1164</v>
      </c>
      <c r="C524" s="5" t="s">
        <v>187</v>
      </c>
      <c r="D524" s="5" t="s">
        <v>196</v>
      </c>
      <c r="E524" s="2"/>
    </row>
    <row r="525" customFormat="false" ht="15.75" hidden="false" customHeight="false" outlineLevel="0" collapsed="false">
      <c r="A525" s="5" t="s">
        <v>1165</v>
      </c>
      <c r="B525" s="5" t="s">
        <v>1166</v>
      </c>
      <c r="C525" s="5" t="s">
        <v>187</v>
      </c>
      <c r="D525" s="5" t="s">
        <v>196</v>
      </c>
      <c r="E525" s="2"/>
    </row>
    <row r="526" customFormat="false" ht="15.75" hidden="false" customHeight="false" outlineLevel="0" collapsed="false">
      <c r="A526" s="5" t="s">
        <v>1167</v>
      </c>
      <c r="B526" s="5" t="s">
        <v>1168</v>
      </c>
      <c r="C526" s="5" t="s">
        <v>187</v>
      </c>
      <c r="D526" s="5" t="s">
        <v>188</v>
      </c>
      <c r="E526" s="2"/>
    </row>
    <row r="527" customFormat="false" ht="15.75" hidden="false" customHeight="false" outlineLevel="0" collapsed="false">
      <c r="A527" s="5" t="s">
        <v>1169</v>
      </c>
      <c r="B527" s="5" t="s">
        <v>1170</v>
      </c>
      <c r="C527" s="5" t="s">
        <v>236</v>
      </c>
      <c r="D527" s="5" t="s">
        <v>184</v>
      </c>
      <c r="E527" s="2"/>
    </row>
    <row r="528" customFormat="false" ht="15.75" hidden="false" customHeight="false" outlineLevel="0" collapsed="false">
      <c r="A528" s="5" t="s">
        <v>1171</v>
      </c>
      <c r="B528" s="5" t="s">
        <v>1172</v>
      </c>
      <c r="C528" s="5" t="s">
        <v>287</v>
      </c>
      <c r="D528" s="5" t="s">
        <v>208</v>
      </c>
      <c r="E528" s="2"/>
    </row>
    <row r="529" customFormat="false" ht="15.75" hidden="false" customHeight="false" outlineLevel="0" collapsed="false">
      <c r="A529" s="5" t="s">
        <v>1173</v>
      </c>
      <c r="B529" s="5" t="s">
        <v>1174</v>
      </c>
      <c r="C529" s="5" t="s">
        <v>187</v>
      </c>
      <c r="D529" s="5" t="s">
        <v>202</v>
      </c>
      <c r="E529" s="2"/>
    </row>
    <row r="530" customFormat="false" ht="15.75" hidden="false" customHeight="false" outlineLevel="0" collapsed="false">
      <c r="A530" s="5" t="s">
        <v>108</v>
      </c>
      <c r="B530" s="5" t="s">
        <v>109</v>
      </c>
      <c r="C530" s="5" t="s">
        <v>101</v>
      </c>
      <c r="D530" s="5" t="s">
        <v>15</v>
      </c>
      <c r="E530" s="2"/>
    </row>
    <row r="531" customFormat="false" ht="15.75" hidden="false" customHeight="false" outlineLevel="0" collapsed="false">
      <c r="A531" s="5" t="s">
        <v>1175</v>
      </c>
      <c r="B531" s="5" t="s">
        <v>1176</v>
      </c>
      <c r="C531" s="5" t="s">
        <v>187</v>
      </c>
      <c r="D531" s="5" t="s">
        <v>257</v>
      </c>
      <c r="E531" s="2"/>
    </row>
    <row r="532" customFormat="false" ht="15.75" hidden="false" customHeight="false" outlineLevel="0" collapsed="false">
      <c r="A532" s="5" t="s">
        <v>1177</v>
      </c>
      <c r="B532" s="5" t="s">
        <v>1178</v>
      </c>
      <c r="C532" s="6" t="n">
        <v>0</v>
      </c>
      <c r="D532" s="5" t="s">
        <v>15</v>
      </c>
      <c r="E532" s="2"/>
    </row>
    <row r="533" customFormat="false" ht="15.75" hidden="false" customHeight="false" outlineLevel="0" collapsed="false">
      <c r="A533" s="5" t="s">
        <v>1179</v>
      </c>
      <c r="B533" s="5" t="s">
        <v>1180</v>
      </c>
      <c r="C533" s="5" t="s">
        <v>236</v>
      </c>
      <c r="D533" s="5" t="s">
        <v>184</v>
      </c>
      <c r="E533" s="2"/>
    </row>
    <row r="534" customFormat="false" ht="15.75" hidden="false" customHeight="false" outlineLevel="0" collapsed="false">
      <c r="A534" s="5" t="s">
        <v>1181</v>
      </c>
      <c r="B534" s="5" t="s">
        <v>1182</v>
      </c>
      <c r="C534" s="5" t="s">
        <v>187</v>
      </c>
      <c r="D534" s="5" t="s">
        <v>202</v>
      </c>
      <c r="E534" s="2"/>
    </row>
    <row r="535" customFormat="false" ht="15.75" hidden="false" customHeight="false" outlineLevel="0" collapsed="false">
      <c r="A535" s="5" t="s">
        <v>1183</v>
      </c>
      <c r="B535" s="5" t="s">
        <v>1184</v>
      </c>
      <c r="C535" s="5" t="s">
        <v>187</v>
      </c>
      <c r="D535" s="5" t="s">
        <v>202</v>
      </c>
      <c r="E535" s="2"/>
    </row>
    <row r="536" customFormat="false" ht="15.75" hidden="false" customHeight="false" outlineLevel="0" collapsed="false">
      <c r="A536" s="5" t="s">
        <v>1185</v>
      </c>
      <c r="B536" s="5" t="s">
        <v>1186</v>
      </c>
      <c r="C536" s="5" t="s">
        <v>187</v>
      </c>
      <c r="D536" s="5" t="s">
        <v>202</v>
      </c>
      <c r="E536" s="2"/>
    </row>
    <row r="537" customFormat="false" ht="15.75" hidden="false" customHeight="false" outlineLevel="0" collapsed="false">
      <c r="A537" s="5" t="s">
        <v>1187</v>
      </c>
      <c r="B537" s="5" t="s">
        <v>1188</v>
      </c>
      <c r="C537" s="5" t="s">
        <v>187</v>
      </c>
      <c r="D537" s="5" t="s">
        <v>208</v>
      </c>
      <c r="E537" s="2"/>
    </row>
    <row r="538" customFormat="false" ht="15.75" hidden="false" customHeight="false" outlineLevel="0" collapsed="false">
      <c r="A538" s="5" t="s">
        <v>1189</v>
      </c>
      <c r="B538" s="5" t="s">
        <v>1190</v>
      </c>
      <c r="C538" s="5" t="s">
        <v>287</v>
      </c>
      <c r="D538" s="5" t="s">
        <v>208</v>
      </c>
      <c r="E538" s="2"/>
    </row>
    <row r="539" customFormat="false" ht="15.75" hidden="false" customHeight="false" outlineLevel="0" collapsed="false">
      <c r="A539" s="5" t="s">
        <v>1191</v>
      </c>
      <c r="B539" s="5" t="s">
        <v>1192</v>
      </c>
      <c r="C539" s="5" t="s">
        <v>187</v>
      </c>
      <c r="D539" s="5" t="s">
        <v>202</v>
      </c>
      <c r="E539" s="2"/>
    </row>
    <row r="540" customFormat="false" ht="15.75" hidden="false" customHeight="false" outlineLevel="0" collapsed="false">
      <c r="A540" s="5" t="s">
        <v>1193</v>
      </c>
      <c r="B540" s="5" t="s">
        <v>1194</v>
      </c>
      <c r="C540" s="5" t="s">
        <v>187</v>
      </c>
      <c r="D540" s="5" t="s">
        <v>202</v>
      </c>
      <c r="E540" s="2"/>
    </row>
    <row r="541" customFormat="false" ht="15.75" hidden="false" customHeight="false" outlineLevel="0" collapsed="false">
      <c r="A541" s="5" t="s">
        <v>1195</v>
      </c>
      <c r="B541" s="5" t="s">
        <v>1196</v>
      </c>
      <c r="C541" s="5" t="s">
        <v>187</v>
      </c>
      <c r="D541" s="5" t="s">
        <v>199</v>
      </c>
      <c r="E541" s="2"/>
    </row>
    <row r="542" customFormat="false" ht="15.75" hidden="false" customHeight="false" outlineLevel="0" collapsed="false">
      <c r="A542" s="5" t="s">
        <v>1197</v>
      </c>
      <c r="B542" s="5" t="s">
        <v>1198</v>
      </c>
      <c r="C542" s="5" t="s">
        <v>183</v>
      </c>
      <c r="D542" s="5" t="s">
        <v>184</v>
      </c>
      <c r="E542" s="2"/>
    </row>
    <row r="543" customFormat="false" ht="15.75" hidden="false" customHeight="false" outlineLevel="0" collapsed="false">
      <c r="A543" s="5" t="s">
        <v>1199</v>
      </c>
      <c r="B543" s="5" t="s">
        <v>1200</v>
      </c>
      <c r="C543" s="5" t="s">
        <v>180</v>
      </c>
      <c r="D543" s="5" t="s">
        <v>15</v>
      </c>
      <c r="E543" s="2"/>
    </row>
    <row r="544" customFormat="false" ht="15.75" hidden="false" customHeight="false" outlineLevel="0" collapsed="false">
      <c r="A544" s="5" t="s">
        <v>1201</v>
      </c>
      <c r="B544" s="5" t="s">
        <v>1202</v>
      </c>
      <c r="C544" s="5" t="s">
        <v>187</v>
      </c>
      <c r="D544" s="5" t="s">
        <v>208</v>
      </c>
      <c r="E544" s="2"/>
    </row>
    <row r="545" customFormat="false" ht="15.75" hidden="false" customHeight="false" outlineLevel="0" collapsed="false">
      <c r="A545" s="5" t="s">
        <v>1203</v>
      </c>
      <c r="B545" s="5" t="s">
        <v>1204</v>
      </c>
      <c r="C545" s="5" t="s">
        <v>187</v>
      </c>
      <c r="D545" s="5" t="s">
        <v>202</v>
      </c>
      <c r="E545" s="2"/>
    </row>
    <row r="546" customFormat="false" ht="15.75" hidden="false" customHeight="false" outlineLevel="0" collapsed="false">
      <c r="A546" s="5" t="s">
        <v>1205</v>
      </c>
      <c r="B546" s="5" t="s">
        <v>1206</v>
      </c>
      <c r="C546" s="5" t="s">
        <v>187</v>
      </c>
      <c r="D546" s="5" t="s">
        <v>202</v>
      </c>
      <c r="E546" s="2"/>
    </row>
    <row r="547" customFormat="false" ht="15.75" hidden="false" customHeight="false" outlineLevel="0" collapsed="false">
      <c r="A547" s="5" t="s">
        <v>1207</v>
      </c>
      <c r="B547" s="5" t="s">
        <v>1208</v>
      </c>
      <c r="C547" s="5" t="s">
        <v>187</v>
      </c>
      <c r="D547" s="5" t="s">
        <v>202</v>
      </c>
      <c r="E547" s="2"/>
    </row>
    <row r="548" customFormat="false" ht="15.75" hidden="false" customHeight="false" outlineLevel="0" collapsed="false">
      <c r="A548" s="5" t="s">
        <v>1209</v>
      </c>
      <c r="B548" s="5" t="s">
        <v>1210</v>
      </c>
      <c r="C548" s="5" t="s">
        <v>187</v>
      </c>
      <c r="D548" s="5" t="s">
        <v>345</v>
      </c>
      <c r="E548" s="2"/>
    </row>
    <row r="549" customFormat="false" ht="15.75" hidden="false" customHeight="false" outlineLevel="0" collapsed="false">
      <c r="A549" s="5" t="s">
        <v>1211</v>
      </c>
      <c r="B549" s="5" t="s">
        <v>1212</v>
      </c>
      <c r="C549" s="5" t="s">
        <v>187</v>
      </c>
      <c r="D549" s="5" t="s">
        <v>208</v>
      </c>
      <c r="E549" s="2"/>
    </row>
    <row r="550" customFormat="false" ht="15.75" hidden="false" customHeight="false" outlineLevel="0" collapsed="false">
      <c r="A550" s="5" t="s">
        <v>1213</v>
      </c>
      <c r="B550" s="5" t="s">
        <v>1214</v>
      </c>
      <c r="C550" s="5" t="s">
        <v>18</v>
      </c>
      <c r="D550" s="5" t="s">
        <v>196</v>
      </c>
      <c r="E550" s="2"/>
    </row>
    <row r="551" customFormat="false" ht="15.75" hidden="false" customHeight="false" outlineLevel="0" collapsed="false">
      <c r="A551" s="5" t="s">
        <v>1215</v>
      </c>
      <c r="B551" s="5" t="s">
        <v>1216</v>
      </c>
      <c r="C551" s="5" t="s">
        <v>187</v>
      </c>
      <c r="D551" s="5" t="s">
        <v>202</v>
      </c>
      <c r="E551" s="2"/>
    </row>
    <row r="552" customFormat="false" ht="15.75" hidden="false" customHeight="false" outlineLevel="0" collapsed="false">
      <c r="A552" s="5" t="s">
        <v>1217</v>
      </c>
      <c r="B552" s="5" t="s">
        <v>1218</v>
      </c>
      <c r="C552" s="5" t="s">
        <v>187</v>
      </c>
      <c r="D552" s="5" t="s">
        <v>184</v>
      </c>
      <c r="E552" s="2"/>
    </row>
    <row r="553" customFormat="false" ht="15.75" hidden="false" customHeight="false" outlineLevel="0" collapsed="false">
      <c r="A553" s="5" t="s">
        <v>1219</v>
      </c>
      <c r="B553" s="5" t="s">
        <v>1220</v>
      </c>
      <c r="C553" s="5" t="s">
        <v>35</v>
      </c>
      <c r="D553" s="5" t="s">
        <v>15</v>
      </c>
      <c r="E553" s="2"/>
    </row>
    <row r="554" customFormat="false" ht="15.75" hidden="false" customHeight="false" outlineLevel="0" collapsed="false">
      <c r="A554" s="5" t="s">
        <v>1221</v>
      </c>
      <c r="B554" s="5" t="s">
        <v>1222</v>
      </c>
      <c r="C554" s="5" t="s">
        <v>187</v>
      </c>
      <c r="D554" s="5" t="s">
        <v>345</v>
      </c>
      <c r="E554" s="2"/>
    </row>
    <row r="555" customFormat="false" ht="15.75" hidden="false" customHeight="false" outlineLevel="0" collapsed="false">
      <c r="A555" s="5" t="s">
        <v>1223</v>
      </c>
      <c r="B555" s="5" t="s">
        <v>1224</v>
      </c>
      <c r="C555" s="5" t="s">
        <v>180</v>
      </c>
      <c r="D555" s="5" t="s">
        <v>15</v>
      </c>
      <c r="E555" s="2"/>
    </row>
    <row r="556" customFormat="false" ht="15.75" hidden="false" customHeight="false" outlineLevel="0" collapsed="false">
      <c r="A556" s="5" t="s">
        <v>110</v>
      </c>
      <c r="B556" s="5" t="s">
        <v>111</v>
      </c>
      <c r="C556" s="5" t="s">
        <v>35</v>
      </c>
      <c r="D556" s="5" t="s">
        <v>15</v>
      </c>
      <c r="E556" s="2"/>
    </row>
    <row r="557" customFormat="false" ht="15.75" hidden="false" customHeight="false" outlineLevel="0" collapsed="false">
      <c r="A557" s="5" t="s">
        <v>1225</v>
      </c>
      <c r="B557" s="5" t="s">
        <v>1226</v>
      </c>
      <c r="C557" s="5" t="s">
        <v>187</v>
      </c>
      <c r="D557" s="5" t="s">
        <v>208</v>
      </c>
      <c r="E557" s="2"/>
    </row>
    <row r="558" customFormat="false" ht="15.75" hidden="false" customHeight="false" outlineLevel="0" collapsed="false">
      <c r="A558" s="5" t="s">
        <v>1227</v>
      </c>
      <c r="B558" s="5" t="s">
        <v>1228</v>
      </c>
      <c r="C558" s="5" t="s">
        <v>187</v>
      </c>
      <c r="D558" s="5" t="s">
        <v>196</v>
      </c>
      <c r="E558" s="2"/>
    </row>
    <row r="559" customFormat="false" ht="15.75" hidden="false" customHeight="false" outlineLevel="0" collapsed="false">
      <c r="A559" s="5" t="s">
        <v>1229</v>
      </c>
      <c r="B559" s="5" t="s">
        <v>1230</v>
      </c>
      <c r="C559" s="5" t="s">
        <v>180</v>
      </c>
      <c r="D559" s="5" t="s">
        <v>199</v>
      </c>
      <c r="E559" s="2"/>
    </row>
    <row r="560" customFormat="false" ht="15.75" hidden="false" customHeight="false" outlineLevel="0" collapsed="false">
      <c r="A560" s="5" t="s">
        <v>1231</v>
      </c>
      <c r="B560" s="5" t="s">
        <v>1232</v>
      </c>
      <c r="C560" s="5" t="s">
        <v>187</v>
      </c>
      <c r="D560" s="5" t="s">
        <v>196</v>
      </c>
      <c r="E560" s="2"/>
    </row>
    <row r="561" customFormat="false" ht="15.75" hidden="false" customHeight="false" outlineLevel="0" collapsed="false">
      <c r="A561" s="5" t="s">
        <v>1233</v>
      </c>
      <c r="B561" s="5" t="s">
        <v>1234</v>
      </c>
      <c r="C561" s="5" t="s">
        <v>266</v>
      </c>
      <c r="D561" s="5" t="s">
        <v>196</v>
      </c>
      <c r="E561" s="2"/>
    </row>
    <row r="562" customFormat="false" ht="15.75" hidden="false" customHeight="false" outlineLevel="0" collapsed="false">
      <c r="A562" s="5" t="s">
        <v>1235</v>
      </c>
      <c r="B562" s="5" t="s">
        <v>1236</v>
      </c>
      <c r="C562" s="5" t="s">
        <v>180</v>
      </c>
      <c r="D562" s="5" t="s">
        <v>15</v>
      </c>
      <c r="E562" s="2"/>
    </row>
    <row r="563" customFormat="false" ht="15.75" hidden="false" customHeight="false" outlineLevel="0" collapsed="false">
      <c r="A563" s="5" t="s">
        <v>1237</v>
      </c>
      <c r="B563" s="5" t="s">
        <v>1238</v>
      </c>
      <c r="C563" s="5" t="s">
        <v>187</v>
      </c>
      <c r="D563" s="5" t="s">
        <v>202</v>
      </c>
      <c r="E563" s="2"/>
    </row>
    <row r="564" customFormat="false" ht="15.75" hidden="false" customHeight="false" outlineLevel="0" collapsed="false">
      <c r="A564" s="5" t="s">
        <v>1239</v>
      </c>
      <c r="B564" s="5" t="s">
        <v>1240</v>
      </c>
      <c r="C564" s="5" t="s">
        <v>187</v>
      </c>
      <c r="D564" s="5" t="s">
        <v>202</v>
      </c>
      <c r="E564" s="2"/>
    </row>
    <row r="565" customFormat="false" ht="15.75" hidden="false" customHeight="false" outlineLevel="0" collapsed="false">
      <c r="A565" s="5" t="s">
        <v>1241</v>
      </c>
      <c r="B565" s="5" t="s">
        <v>1242</v>
      </c>
      <c r="C565" s="5" t="s">
        <v>187</v>
      </c>
      <c r="D565" s="5" t="s">
        <v>202</v>
      </c>
      <c r="E565" s="2"/>
    </row>
    <row r="566" customFormat="false" ht="15.75" hidden="false" customHeight="false" outlineLevel="0" collapsed="false">
      <c r="A566" s="5" t="s">
        <v>1243</v>
      </c>
      <c r="B566" s="5" t="s">
        <v>1244</v>
      </c>
      <c r="C566" s="5" t="s">
        <v>180</v>
      </c>
      <c r="D566" s="5" t="s">
        <v>196</v>
      </c>
      <c r="E566" s="2"/>
    </row>
    <row r="567" customFormat="false" ht="15.75" hidden="false" customHeight="false" outlineLevel="0" collapsed="false">
      <c r="A567" s="5" t="s">
        <v>1245</v>
      </c>
      <c r="B567" s="5" t="s">
        <v>1246</v>
      </c>
      <c r="C567" s="5" t="s">
        <v>187</v>
      </c>
      <c r="D567" s="5" t="s">
        <v>208</v>
      </c>
      <c r="E567" s="2"/>
    </row>
    <row r="568" customFormat="false" ht="15.75" hidden="false" customHeight="false" outlineLevel="0" collapsed="false">
      <c r="A568" s="5" t="s">
        <v>1247</v>
      </c>
      <c r="B568" s="5" t="s">
        <v>1248</v>
      </c>
      <c r="C568" s="5" t="s">
        <v>187</v>
      </c>
      <c r="D568" s="5" t="s">
        <v>202</v>
      </c>
      <c r="E568" s="2"/>
    </row>
    <row r="569" customFormat="false" ht="15.75" hidden="false" customHeight="false" outlineLevel="0" collapsed="false">
      <c r="A569" s="5" t="s">
        <v>1249</v>
      </c>
      <c r="B569" s="5" t="s">
        <v>1250</v>
      </c>
      <c r="C569" s="5" t="s">
        <v>187</v>
      </c>
      <c r="D569" s="5" t="s">
        <v>208</v>
      </c>
      <c r="E569" s="2"/>
    </row>
    <row r="570" customFormat="false" ht="15.75" hidden="false" customHeight="false" outlineLevel="0" collapsed="false">
      <c r="A570" s="5" t="s">
        <v>1251</v>
      </c>
      <c r="B570" s="5" t="s">
        <v>1252</v>
      </c>
      <c r="C570" s="5" t="s">
        <v>187</v>
      </c>
      <c r="D570" s="5" t="s">
        <v>199</v>
      </c>
      <c r="E570" s="2"/>
    </row>
    <row r="571" customFormat="false" ht="15.75" hidden="false" customHeight="false" outlineLevel="0" collapsed="false">
      <c r="A571" s="5" t="s">
        <v>1253</v>
      </c>
      <c r="B571" s="5" t="s">
        <v>1254</v>
      </c>
      <c r="C571" s="5" t="s">
        <v>187</v>
      </c>
      <c r="D571" s="5" t="s">
        <v>202</v>
      </c>
      <c r="E571" s="2"/>
    </row>
    <row r="572" customFormat="false" ht="15.75" hidden="false" customHeight="false" outlineLevel="0" collapsed="false">
      <c r="A572" s="5" t="s">
        <v>1255</v>
      </c>
      <c r="B572" s="5" t="s">
        <v>1256</v>
      </c>
      <c r="C572" s="5" t="s">
        <v>187</v>
      </c>
      <c r="D572" s="5" t="s">
        <v>199</v>
      </c>
      <c r="E572" s="2"/>
    </row>
    <row r="573" customFormat="false" ht="15.75" hidden="false" customHeight="false" outlineLevel="0" collapsed="false">
      <c r="A573" s="5" t="s">
        <v>1257</v>
      </c>
      <c r="B573" s="5" t="s">
        <v>1258</v>
      </c>
      <c r="C573" s="5" t="s">
        <v>187</v>
      </c>
      <c r="D573" s="5" t="s">
        <v>202</v>
      </c>
      <c r="E573" s="2"/>
    </row>
    <row r="574" customFormat="false" ht="15.75" hidden="false" customHeight="false" outlineLevel="0" collapsed="false">
      <c r="A574" s="5" t="s">
        <v>1259</v>
      </c>
      <c r="B574" s="5" t="s">
        <v>1260</v>
      </c>
      <c r="C574" s="5" t="s">
        <v>191</v>
      </c>
      <c r="D574" s="5" t="s">
        <v>15</v>
      </c>
      <c r="E574" s="2"/>
    </row>
    <row r="575" customFormat="false" ht="15.75" hidden="false" customHeight="false" outlineLevel="0" collapsed="false">
      <c r="A575" s="5" t="s">
        <v>1261</v>
      </c>
      <c r="B575" s="5" t="s">
        <v>1262</v>
      </c>
      <c r="C575" s="5" t="s">
        <v>18</v>
      </c>
      <c r="D575" s="5" t="s">
        <v>15</v>
      </c>
      <c r="E575" s="2"/>
    </row>
    <row r="576" customFormat="false" ht="15.75" hidden="false" customHeight="false" outlineLevel="0" collapsed="false">
      <c r="A576" s="5" t="s">
        <v>1263</v>
      </c>
      <c r="B576" s="5" t="s">
        <v>1264</v>
      </c>
      <c r="C576" s="5" t="s">
        <v>191</v>
      </c>
      <c r="D576" s="5" t="s">
        <v>15</v>
      </c>
      <c r="E576" s="2"/>
    </row>
    <row r="577" customFormat="false" ht="15.75" hidden="false" customHeight="false" outlineLevel="0" collapsed="false">
      <c r="A577" s="5" t="s">
        <v>112</v>
      </c>
      <c r="B577" s="5" t="s">
        <v>113</v>
      </c>
      <c r="C577" s="5" t="s">
        <v>114</v>
      </c>
      <c r="D577" s="5" t="s">
        <v>15</v>
      </c>
      <c r="E577" s="2"/>
    </row>
    <row r="578" customFormat="false" ht="15.75" hidden="false" customHeight="false" outlineLevel="0" collapsed="false">
      <c r="A578" s="5" t="s">
        <v>1265</v>
      </c>
      <c r="B578" s="5" t="s">
        <v>1266</v>
      </c>
      <c r="C578" s="5" t="s">
        <v>187</v>
      </c>
      <c r="D578" s="5" t="s">
        <v>202</v>
      </c>
      <c r="E578" s="2"/>
    </row>
    <row r="579" customFormat="false" ht="15.75" hidden="false" customHeight="false" outlineLevel="0" collapsed="false">
      <c r="A579" s="5" t="s">
        <v>1267</v>
      </c>
      <c r="B579" s="5" t="s">
        <v>1268</v>
      </c>
      <c r="C579" s="5" t="s">
        <v>486</v>
      </c>
      <c r="D579" s="5" t="s">
        <v>15</v>
      </c>
      <c r="E579" s="2"/>
    </row>
    <row r="580" customFormat="false" ht="15.75" hidden="false" customHeight="false" outlineLevel="0" collapsed="false">
      <c r="A580" s="5" t="s">
        <v>1269</v>
      </c>
      <c r="B580" s="5" t="s">
        <v>1270</v>
      </c>
      <c r="C580" s="5" t="s">
        <v>187</v>
      </c>
      <c r="D580" s="5" t="s">
        <v>196</v>
      </c>
      <c r="E580" s="2"/>
    </row>
    <row r="581" customFormat="false" ht="15.75" hidden="false" customHeight="false" outlineLevel="0" collapsed="false">
      <c r="A581" s="5" t="s">
        <v>1271</v>
      </c>
      <c r="B581" s="5" t="s">
        <v>1272</v>
      </c>
      <c r="C581" s="5" t="s">
        <v>187</v>
      </c>
      <c r="D581" s="5" t="s">
        <v>208</v>
      </c>
      <c r="E581" s="2"/>
    </row>
    <row r="582" customFormat="false" ht="15.75" hidden="false" customHeight="false" outlineLevel="0" collapsed="false">
      <c r="A582" s="5" t="s">
        <v>1273</v>
      </c>
      <c r="B582" s="5" t="s">
        <v>1274</v>
      </c>
      <c r="C582" s="5" t="s">
        <v>187</v>
      </c>
      <c r="D582" s="5" t="s">
        <v>202</v>
      </c>
      <c r="E582" s="2"/>
    </row>
    <row r="583" customFormat="false" ht="15.75" hidden="false" customHeight="false" outlineLevel="0" collapsed="false">
      <c r="A583" s="5" t="s">
        <v>1275</v>
      </c>
      <c r="B583" s="5" t="s">
        <v>1276</v>
      </c>
      <c r="C583" s="5" t="s">
        <v>287</v>
      </c>
      <c r="D583" s="5" t="s">
        <v>208</v>
      </c>
      <c r="E583" s="2"/>
    </row>
    <row r="584" customFormat="false" ht="15.75" hidden="false" customHeight="false" outlineLevel="0" collapsed="false">
      <c r="A584" s="5" t="s">
        <v>1277</v>
      </c>
      <c r="B584" s="5" t="s">
        <v>1278</v>
      </c>
      <c r="C584" s="5" t="s">
        <v>187</v>
      </c>
      <c r="D584" s="5" t="s">
        <v>202</v>
      </c>
      <c r="E584" s="2"/>
    </row>
    <row r="585" customFormat="false" ht="15.75" hidden="false" customHeight="false" outlineLevel="0" collapsed="false">
      <c r="A585" s="5" t="s">
        <v>1279</v>
      </c>
      <c r="B585" s="5" t="s">
        <v>1280</v>
      </c>
      <c r="C585" s="5" t="s">
        <v>187</v>
      </c>
      <c r="D585" s="5" t="s">
        <v>345</v>
      </c>
      <c r="E585" s="2"/>
    </row>
    <row r="586" customFormat="false" ht="15.75" hidden="false" customHeight="false" outlineLevel="0" collapsed="false">
      <c r="A586" s="5" t="s">
        <v>1281</v>
      </c>
      <c r="B586" s="5" t="s">
        <v>1282</v>
      </c>
      <c r="C586" s="5" t="s">
        <v>187</v>
      </c>
      <c r="D586" s="5" t="s">
        <v>188</v>
      </c>
      <c r="E586" s="2"/>
    </row>
    <row r="587" customFormat="false" ht="15.75" hidden="false" customHeight="false" outlineLevel="0" collapsed="false">
      <c r="A587" s="5" t="s">
        <v>1283</v>
      </c>
      <c r="B587" s="5" t="s">
        <v>1284</v>
      </c>
      <c r="C587" s="5" t="s">
        <v>187</v>
      </c>
      <c r="D587" s="5" t="s">
        <v>257</v>
      </c>
      <c r="E587" s="2"/>
    </row>
    <row r="588" customFormat="false" ht="15.75" hidden="false" customHeight="false" outlineLevel="0" collapsed="false">
      <c r="A588" s="5" t="s">
        <v>1285</v>
      </c>
      <c r="B588" s="5" t="s">
        <v>1286</v>
      </c>
      <c r="C588" s="5" t="s">
        <v>187</v>
      </c>
      <c r="D588" s="5" t="s">
        <v>257</v>
      </c>
      <c r="E588" s="2"/>
    </row>
    <row r="589" customFormat="false" ht="15.75" hidden="false" customHeight="false" outlineLevel="0" collapsed="false">
      <c r="A589" s="5" t="s">
        <v>1287</v>
      </c>
      <c r="B589" s="5" t="s">
        <v>1288</v>
      </c>
      <c r="C589" s="5" t="s">
        <v>180</v>
      </c>
      <c r="D589" s="5" t="s">
        <v>15</v>
      </c>
      <c r="E589" s="2"/>
    </row>
    <row r="590" customFormat="false" ht="15.75" hidden="false" customHeight="false" outlineLevel="0" collapsed="false">
      <c r="A590" s="5" t="s">
        <v>1289</v>
      </c>
      <c r="B590" s="5" t="s">
        <v>1290</v>
      </c>
      <c r="C590" s="5" t="s">
        <v>180</v>
      </c>
      <c r="D590" s="5" t="s">
        <v>15</v>
      </c>
      <c r="E590" s="2"/>
    </row>
    <row r="591" customFormat="false" ht="15.75" hidden="false" customHeight="false" outlineLevel="0" collapsed="false">
      <c r="A591" s="5" t="s">
        <v>1291</v>
      </c>
      <c r="B591" s="5" t="s">
        <v>1292</v>
      </c>
      <c r="C591" s="5" t="s">
        <v>180</v>
      </c>
      <c r="D591" s="5" t="s">
        <v>15</v>
      </c>
      <c r="E591" s="2"/>
    </row>
    <row r="592" customFormat="false" ht="15.75" hidden="false" customHeight="false" outlineLevel="0" collapsed="false">
      <c r="A592" s="5" t="s">
        <v>1293</v>
      </c>
      <c r="B592" s="5" t="s">
        <v>1294</v>
      </c>
      <c r="C592" s="5" t="s">
        <v>180</v>
      </c>
      <c r="D592" s="5" t="s">
        <v>15</v>
      </c>
      <c r="E592" s="2"/>
    </row>
    <row r="593" customFormat="false" ht="15.75" hidden="false" customHeight="false" outlineLevel="0" collapsed="false">
      <c r="A593" s="5" t="s">
        <v>115</v>
      </c>
      <c r="B593" s="5" t="s">
        <v>116</v>
      </c>
      <c r="C593" s="5" t="s">
        <v>35</v>
      </c>
      <c r="D593" s="5" t="s">
        <v>15</v>
      </c>
      <c r="E593" s="2"/>
    </row>
    <row r="594" customFormat="false" ht="15.75" hidden="false" customHeight="false" outlineLevel="0" collapsed="false">
      <c r="A594" s="5" t="s">
        <v>117</v>
      </c>
      <c r="B594" s="5" t="s">
        <v>118</v>
      </c>
      <c r="C594" s="5" t="s">
        <v>35</v>
      </c>
      <c r="D594" s="5" t="s">
        <v>15</v>
      </c>
      <c r="E594" s="2"/>
    </row>
    <row r="595" customFormat="false" ht="15.75" hidden="false" customHeight="false" outlineLevel="0" collapsed="false">
      <c r="A595" s="5" t="s">
        <v>119</v>
      </c>
      <c r="B595" s="5" t="s">
        <v>120</v>
      </c>
      <c r="C595" s="5" t="s">
        <v>35</v>
      </c>
      <c r="D595" s="5" t="s">
        <v>15</v>
      </c>
      <c r="E595" s="2"/>
    </row>
    <row r="596" customFormat="false" ht="15.75" hidden="false" customHeight="false" outlineLevel="0" collapsed="false">
      <c r="A596" s="5" t="s">
        <v>121</v>
      </c>
      <c r="B596" s="5" t="s">
        <v>122</v>
      </c>
      <c r="C596" s="5" t="s">
        <v>32</v>
      </c>
      <c r="D596" s="5" t="s">
        <v>15</v>
      </c>
      <c r="E596" s="2"/>
    </row>
    <row r="597" customFormat="false" ht="15.75" hidden="false" customHeight="false" outlineLevel="0" collapsed="false">
      <c r="A597" s="5" t="s">
        <v>1295</v>
      </c>
      <c r="B597" s="5" t="s">
        <v>1296</v>
      </c>
      <c r="C597" s="5" t="s">
        <v>187</v>
      </c>
      <c r="D597" s="5" t="s">
        <v>188</v>
      </c>
      <c r="E597" s="2"/>
    </row>
    <row r="598" customFormat="false" ht="15.75" hidden="false" customHeight="false" outlineLevel="0" collapsed="false">
      <c r="A598" s="5" t="s">
        <v>123</v>
      </c>
      <c r="B598" s="5" t="s">
        <v>124</v>
      </c>
      <c r="C598" s="5" t="s">
        <v>14</v>
      </c>
      <c r="D598" s="5" t="s">
        <v>15</v>
      </c>
      <c r="E598" s="2"/>
    </row>
    <row r="599" customFormat="false" ht="15.75" hidden="false" customHeight="false" outlineLevel="0" collapsed="false">
      <c r="A599" s="5" t="s">
        <v>1297</v>
      </c>
      <c r="B599" s="5" t="s">
        <v>1298</v>
      </c>
      <c r="C599" s="5" t="s">
        <v>187</v>
      </c>
      <c r="D599" s="5" t="s">
        <v>202</v>
      </c>
      <c r="E599" s="2"/>
    </row>
    <row r="600" customFormat="false" ht="15.75" hidden="false" customHeight="false" outlineLevel="0" collapsed="false">
      <c r="A600" s="5" t="s">
        <v>1299</v>
      </c>
      <c r="B600" s="5" t="s">
        <v>1300</v>
      </c>
      <c r="C600" s="5" t="s">
        <v>187</v>
      </c>
      <c r="D600" s="5" t="s">
        <v>199</v>
      </c>
      <c r="E600" s="2"/>
    </row>
    <row r="601" customFormat="false" ht="15.75" hidden="false" customHeight="false" outlineLevel="0" collapsed="false">
      <c r="A601" s="5" t="s">
        <v>1301</v>
      </c>
      <c r="B601" s="5" t="s">
        <v>1302</v>
      </c>
      <c r="C601" s="5" t="s">
        <v>180</v>
      </c>
      <c r="D601" s="5" t="s">
        <v>199</v>
      </c>
      <c r="E601" s="2"/>
    </row>
    <row r="602" customFormat="false" ht="15.75" hidden="false" customHeight="false" outlineLevel="0" collapsed="false">
      <c r="A602" s="5" t="s">
        <v>1303</v>
      </c>
      <c r="B602" s="5" t="s">
        <v>1304</v>
      </c>
      <c r="C602" s="5" t="s">
        <v>180</v>
      </c>
      <c r="D602" s="5" t="s">
        <v>196</v>
      </c>
      <c r="E602" s="2"/>
    </row>
    <row r="603" customFormat="false" ht="15.75" hidden="false" customHeight="false" outlineLevel="0" collapsed="false">
      <c r="A603" s="5" t="s">
        <v>1303</v>
      </c>
      <c r="B603" s="5" t="s">
        <v>1305</v>
      </c>
      <c r="C603" s="5" t="s">
        <v>180</v>
      </c>
      <c r="D603" s="5" t="s">
        <v>15</v>
      </c>
      <c r="E603" s="2"/>
    </row>
    <row r="604" customFormat="false" ht="15.75" hidden="false" customHeight="false" outlineLevel="0" collapsed="false">
      <c r="A604" s="5" t="s">
        <v>1306</v>
      </c>
      <c r="B604" s="5" t="s">
        <v>1307</v>
      </c>
      <c r="C604" s="5" t="s">
        <v>266</v>
      </c>
      <c r="D604" s="5" t="s">
        <v>196</v>
      </c>
      <c r="E604" s="2"/>
    </row>
    <row r="605" customFormat="false" ht="15.75" hidden="false" customHeight="false" outlineLevel="0" collapsed="false">
      <c r="A605" s="5" t="s">
        <v>1308</v>
      </c>
      <c r="B605" s="5" t="s">
        <v>1309</v>
      </c>
      <c r="C605" s="5" t="s">
        <v>114</v>
      </c>
      <c r="D605" s="5" t="s">
        <v>15</v>
      </c>
      <c r="E605" s="2"/>
    </row>
    <row r="606" customFormat="false" ht="15.75" hidden="false" customHeight="false" outlineLevel="0" collapsed="false">
      <c r="A606" s="5" t="s">
        <v>1310</v>
      </c>
      <c r="B606" s="5" t="s">
        <v>1311</v>
      </c>
      <c r="C606" s="5" t="s">
        <v>187</v>
      </c>
      <c r="D606" s="5" t="s">
        <v>202</v>
      </c>
      <c r="E606" s="2"/>
    </row>
    <row r="607" customFormat="false" ht="15.75" hidden="false" customHeight="false" outlineLevel="0" collapsed="false">
      <c r="A607" s="5" t="s">
        <v>125</v>
      </c>
      <c r="B607" s="5" t="s">
        <v>126</v>
      </c>
      <c r="C607" s="5" t="s">
        <v>35</v>
      </c>
      <c r="D607" s="5" t="s">
        <v>15</v>
      </c>
      <c r="E607" s="2"/>
    </row>
    <row r="608" customFormat="false" ht="15.75" hidden="false" customHeight="false" outlineLevel="0" collapsed="false">
      <c r="A608" s="5" t="s">
        <v>1312</v>
      </c>
      <c r="B608" s="5" t="s">
        <v>1313</v>
      </c>
      <c r="C608" s="5" t="s">
        <v>187</v>
      </c>
      <c r="D608" s="5" t="s">
        <v>188</v>
      </c>
      <c r="E608" s="2"/>
    </row>
    <row r="609" customFormat="false" ht="15.75" hidden="false" customHeight="false" outlineLevel="0" collapsed="false">
      <c r="A609" s="5" t="s">
        <v>1314</v>
      </c>
      <c r="B609" s="5" t="s">
        <v>1315</v>
      </c>
      <c r="C609" s="5" t="s">
        <v>187</v>
      </c>
      <c r="D609" s="5" t="s">
        <v>184</v>
      </c>
      <c r="E609" s="2"/>
    </row>
    <row r="610" customFormat="false" ht="15.75" hidden="false" customHeight="false" outlineLevel="0" collapsed="false">
      <c r="A610" s="5" t="s">
        <v>1316</v>
      </c>
      <c r="B610" s="5" t="s">
        <v>1317</v>
      </c>
      <c r="C610" s="5" t="s">
        <v>180</v>
      </c>
      <c r="D610" s="5" t="s">
        <v>15</v>
      </c>
      <c r="E610" s="2"/>
    </row>
    <row r="611" customFormat="false" ht="15.75" hidden="false" customHeight="false" outlineLevel="0" collapsed="false">
      <c r="A611" s="5" t="s">
        <v>1318</v>
      </c>
      <c r="B611" s="5" t="s">
        <v>1319</v>
      </c>
      <c r="C611" s="5" t="s">
        <v>187</v>
      </c>
      <c r="D611" s="5" t="s">
        <v>202</v>
      </c>
      <c r="E611" s="2"/>
    </row>
    <row r="612" customFormat="false" ht="15.75" hidden="false" customHeight="false" outlineLevel="0" collapsed="false">
      <c r="A612" s="5" t="s">
        <v>1320</v>
      </c>
      <c r="B612" s="5" t="s">
        <v>1321</v>
      </c>
      <c r="C612" s="5" t="s">
        <v>187</v>
      </c>
      <c r="D612" s="5" t="s">
        <v>188</v>
      </c>
      <c r="E612" s="2"/>
    </row>
    <row r="613" customFormat="false" ht="15.75" hidden="false" customHeight="false" outlineLevel="0" collapsed="false">
      <c r="A613" s="5" t="s">
        <v>127</v>
      </c>
      <c r="B613" s="5" t="s">
        <v>128</v>
      </c>
      <c r="C613" s="5" t="s">
        <v>14</v>
      </c>
      <c r="D613" s="5" t="s">
        <v>15</v>
      </c>
      <c r="E613" s="2"/>
    </row>
    <row r="614" customFormat="false" ht="15.75" hidden="false" customHeight="false" outlineLevel="0" collapsed="false">
      <c r="A614" s="5" t="s">
        <v>1322</v>
      </c>
      <c r="B614" s="5" t="s">
        <v>1323</v>
      </c>
      <c r="C614" s="5" t="s">
        <v>180</v>
      </c>
      <c r="D614" s="5" t="s">
        <v>15</v>
      </c>
      <c r="E614" s="2"/>
    </row>
    <row r="615" customFormat="false" ht="15.75" hidden="false" customHeight="false" outlineLevel="0" collapsed="false">
      <c r="A615" s="5" t="s">
        <v>129</v>
      </c>
      <c r="B615" s="5" t="s">
        <v>130</v>
      </c>
      <c r="C615" s="5" t="s">
        <v>32</v>
      </c>
      <c r="D615" s="5" t="s">
        <v>15</v>
      </c>
      <c r="E615" s="2"/>
    </row>
    <row r="616" customFormat="false" ht="15.75" hidden="false" customHeight="false" outlineLevel="0" collapsed="false">
      <c r="A616" s="5" t="s">
        <v>1324</v>
      </c>
      <c r="B616" s="5" t="s">
        <v>1325</v>
      </c>
      <c r="C616" s="5" t="s">
        <v>187</v>
      </c>
      <c r="D616" s="5" t="s">
        <v>188</v>
      </c>
      <c r="E616" s="2"/>
    </row>
    <row r="617" customFormat="false" ht="15.75" hidden="false" customHeight="false" outlineLevel="0" collapsed="false">
      <c r="A617" s="5" t="s">
        <v>1326</v>
      </c>
      <c r="B617" s="5" t="s">
        <v>1327</v>
      </c>
      <c r="C617" s="5" t="s">
        <v>287</v>
      </c>
      <c r="D617" s="5" t="s">
        <v>208</v>
      </c>
      <c r="E617" s="2"/>
    </row>
    <row r="618" customFormat="false" ht="15.75" hidden="false" customHeight="false" outlineLevel="0" collapsed="false">
      <c r="A618" s="5" t="s">
        <v>1328</v>
      </c>
      <c r="B618" s="5" t="s">
        <v>1329</v>
      </c>
      <c r="C618" s="5" t="s">
        <v>187</v>
      </c>
      <c r="D618" s="5" t="s">
        <v>202</v>
      </c>
      <c r="E618" s="2"/>
    </row>
    <row r="619" customFormat="false" ht="15.75" hidden="false" customHeight="false" outlineLevel="0" collapsed="false">
      <c r="A619" s="5" t="s">
        <v>1330</v>
      </c>
      <c r="B619" s="5" t="s">
        <v>1331</v>
      </c>
      <c r="C619" s="5" t="s">
        <v>183</v>
      </c>
      <c r="D619" s="5" t="s">
        <v>184</v>
      </c>
      <c r="E619" s="2"/>
    </row>
    <row r="620" customFormat="false" ht="15.75" hidden="false" customHeight="false" outlineLevel="0" collapsed="false">
      <c r="A620" s="5" t="s">
        <v>1332</v>
      </c>
      <c r="B620" s="5" t="s">
        <v>1333</v>
      </c>
      <c r="C620" s="5" t="s">
        <v>187</v>
      </c>
      <c r="D620" s="5" t="s">
        <v>202</v>
      </c>
      <c r="E620" s="2"/>
    </row>
    <row r="621" customFormat="false" ht="15.75" hidden="false" customHeight="false" outlineLevel="0" collapsed="false">
      <c r="A621" s="5" t="s">
        <v>1334</v>
      </c>
      <c r="B621" s="5" t="s">
        <v>1335</v>
      </c>
      <c r="C621" s="5" t="s">
        <v>187</v>
      </c>
      <c r="D621" s="5" t="s">
        <v>257</v>
      </c>
      <c r="E621" s="2"/>
    </row>
    <row r="622" customFormat="false" ht="15.75" hidden="false" customHeight="false" outlineLevel="0" collapsed="false">
      <c r="A622" s="5" t="s">
        <v>1336</v>
      </c>
      <c r="B622" s="5" t="s">
        <v>1337</v>
      </c>
      <c r="C622" s="5" t="s">
        <v>266</v>
      </c>
      <c r="D622" s="5" t="s">
        <v>196</v>
      </c>
      <c r="E622" s="2"/>
    </row>
    <row r="623" customFormat="false" ht="15.75" hidden="false" customHeight="false" outlineLevel="0" collapsed="false">
      <c r="A623" s="5" t="s">
        <v>1338</v>
      </c>
      <c r="B623" s="5" t="s">
        <v>1339</v>
      </c>
      <c r="C623" s="5" t="s">
        <v>180</v>
      </c>
      <c r="D623" s="5" t="s">
        <v>15</v>
      </c>
      <c r="E623" s="2"/>
    </row>
    <row r="624" customFormat="false" ht="15.75" hidden="false" customHeight="false" outlineLevel="0" collapsed="false">
      <c r="A624" s="5" t="s">
        <v>131</v>
      </c>
      <c r="B624" s="5" t="s">
        <v>132</v>
      </c>
      <c r="C624" s="5" t="s">
        <v>101</v>
      </c>
      <c r="D624" s="5" t="s">
        <v>15</v>
      </c>
      <c r="E624" s="2"/>
    </row>
    <row r="625" customFormat="false" ht="15.75" hidden="false" customHeight="false" outlineLevel="0" collapsed="false">
      <c r="A625" s="5" t="s">
        <v>1340</v>
      </c>
      <c r="B625" s="5" t="s">
        <v>1341</v>
      </c>
      <c r="C625" s="5" t="s">
        <v>187</v>
      </c>
      <c r="D625" s="5" t="s">
        <v>196</v>
      </c>
      <c r="E625" s="2"/>
    </row>
    <row r="626" customFormat="false" ht="15.75" hidden="false" customHeight="false" outlineLevel="0" collapsed="false">
      <c r="A626" s="5" t="s">
        <v>1342</v>
      </c>
      <c r="B626" s="5" t="s">
        <v>1343</v>
      </c>
      <c r="C626" s="5" t="s">
        <v>187</v>
      </c>
      <c r="D626" s="5" t="s">
        <v>202</v>
      </c>
      <c r="E626" s="2"/>
    </row>
    <row r="627" customFormat="false" ht="15.75" hidden="false" customHeight="false" outlineLevel="0" collapsed="false">
      <c r="A627" s="5" t="s">
        <v>1344</v>
      </c>
      <c r="B627" s="5" t="s">
        <v>1345</v>
      </c>
      <c r="C627" s="5" t="s">
        <v>180</v>
      </c>
      <c r="D627" s="5" t="s">
        <v>15</v>
      </c>
      <c r="E627" s="2"/>
    </row>
    <row r="628" customFormat="false" ht="15.75" hidden="false" customHeight="false" outlineLevel="0" collapsed="false">
      <c r="A628" s="5" t="s">
        <v>1346</v>
      </c>
      <c r="B628" s="5" t="s">
        <v>1347</v>
      </c>
      <c r="C628" s="5" t="s">
        <v>187</v>
      </c>
      <c r="D628" s="5" t="s">
        <v>196</v>
      </c>
      <c r="E628" s="2"/>
    </row>
    <row r="629" customFormat="false" ht="15.75" hidden="false" customHeight="false" outlineLevel="0" collapsed="false">
      <c r="A629" s="5" t="s">
        <v>1348</v>
      </c>
      <c r="B629" s="5" t="s">
        <v>1349</v>
      </c>
      <c r="C629" s="5" t="s">
        <v>187</v>
      </c>
      <c r="D629" s="5" t="s">
        <v>257</v>
      </c>
      <c r="E629" s="2"/>
    </row>
    <row r="630" customFormat="false" ht="15.75" hidden="false" customHeight="false" outlineLevel="0" collapsed="false">
      <c r="A630" s="5" t="s">
        <v>1350</v>
      </c>
      <c r="B630" s="5" t="s">
        <v>1351</v>
      </c>
      <c r="C630" s="5" t="s">
        <v>187</v>
      </c>
      <c r="D630" s="5" t="s">
        <v>202</v>
      </c>
      <c r="E630" s="2"/>
    </row>
    <row r="631" customFormat="false" ht="15.75" hidden="false" customHeight="false" outlineLevel="0" collapsed="false">
      <c r="A631" s="5" t="s">
        <v>1352</v>
      </c>
      <c r="B631" s="5" t="s">
        <v>1353</v>
      </c>
      <c r="C631" s="5" t="s">
        <v>236</v>
      </c>
      <c r="D631" s="5" t="s">
        <v>184</v>
      </c>
      <c r="E631" s="2"/>
    </row>
    <row r="632" customFormat="false" ht="15.75" hidden="false" customHeight="false" outlineLevel="0" collapsed="false">
      <c r="A632" s="5" t="s">
        <v>1354</v>
      </c>
      <c r="B632" s="5" t="s">
        <v>1355</v>
      </c>
      <c r="C632" s="5" t="s">
        <v>236</v>
      </c>
      <c r="D632" s="5" t="s">
        <v>184</v>
      </c>
      <c r="E632" s="2"/>
    </row>
    <row r="633" customFormat="false" ht="15.75" hidden="false" customHeight="false" outlineLevel="0" collapsed="false">
      <c r="A633" s="5" t="s">
        <v>1356</v>
      </c>
      <c r="B633" s="5" t="s">
        <v>1357</v>
      </c>
      <c r="C633" s="5" t="s">
        <v>180</v>
      </c>
      <c r="D633" s="5" t="s">
        <v>15</v>
      </c>
      <c r="E633" s="2"/>
    </row>
    <row r="634" customFormat="false" ht="15.75" hidden="false" customHeight="false" outlineLevel="0" collapsed="false">
      <c r="A634" s="5" t="s">
        <v>1358</v>
      </c>
      <c r="B634" s="5" t="s">
        <v>1359</v>
      </c>
      <c r="C634" s="5" t="s">
        <v>187</v>
      </c>
      <c r="D634" s="5" t="s">
        <v>196</v>
      </c>
      <c r="E634" s="2"/>
    </row>
    <row r="635" customFormat="false" ht="15.75" hidden="false" customHeight="false" outlineLevel="0" collapsed="false">
      <c r="A635" s="5" t="s">
        <v>1360</v>
      </c>
      <c r="B635" s="5" t="s">
        <v>1361</v>
      </c>
      <c r="C635" s="5" t="s">
        <v>180</v>
      </c>
      <c r="D635" s="5" t="s">
        <v>199</v>
      </c>
      <c r="E635" s="2"/>
    </row>
    <row r="636" customFormat="false" ht="15.75" hidden="false" customHeight="false" outlineLevel="0" collapsed="false">
      <c r="A636" s="5" t="s">
        <v>133</v>
      </c>
      <c r="B636" s="5" t="s">
        <v>134</v>
      </c>
      <c r="C636" s="5" t="s">
        <v>135</v>
      </c>
      <c r="D636" s="5" t="s">
        <v>15</v>
      </c>
      <c r="E636" s="2"/>
    </row>
    <row r="637" customFormat="false" ht="15.75" hidden="false" customHeight="false" outlineLevel="0" collapsed="false">
      <c r="A637" s="5" t="s">
        <v>1362</v>
      </c>
      <c r="B637" s="5" t="s">
        <v>1363</v>
      </c>
      <c r="C637" s="5" t="s">
        <v>187</v>
      </c>
      <c r="D637" s="5" t="s">
        <v>188</v>
      </c>
      <c r="E637" s="2"/>
    </row>
    <row r="638" customFormat="false" ht="15.75" hidden="false" customHeight="false" outlineLevel="0" collapsed="false">
      <c r="A638" s="5" t="s">
        <v>1364</v>
      </c>
      <c r="B638" s="5" t="s">
        <v>1365</v>
      </c>
      <c r="C638" s="5" t="s">
        <v>187</v>
      </c>
      <c r="D638" s="5" t="s">
        <v>199</v>
      </c>
      <c r="E638" s="2"/>
    </row>
    <row r="639" customFormat="false" ht="15.75" hidden="false" customHeight="false" outlineLevel="0" collapsed="false">
      <c r="A639" s="5" t="s">
        <v>1366</v>
      </c>
      <c r="B639" s="5" t="s">
        <v>1367</v>
      </c>
      <c r="C639" s="5" t="s">
        <v>180</v>
      </c>
      <c r="D639" s="5" t="s">
        <v>15</v>
      </c>
      <c r="E639" s="2"/>
    </row>
    <row r="640" customFormat="false" ht="15.75" hidden="false" customHeight="false" outlineLevel="0" collapsed="false">
      <c r="A640" s="5" t="s">
        <v>1368</v>
      </c>
      <c r="B640" s="5" t="s">
        <v>1369</v>
      </c>
      <c r="C640" s="5" t="s">
        <v>215</v>
      </c>
      <c r="D640" s="5" t="s">
        <v>208</v>
      </c>
      <c r="E640" s="2"/>
    </row>
    <row r="641" customFormat="false" ht="15.75" hidden="false" customHeight="false" outlineLevel="0" collapsed="false">
      <c r="A641" s="5" t="s">
        <v>1370</v>
      </c>
      <c r="B641" s="5" t="s">
        <v>1371</v>
      </c>
      <c r="C641" s="5" t="s">
        <v>187</v>
      </c>
      <c r="D641" s="5" t="s">
        <v>202</v>
      </c>
      <c r="E641" s="2"/>
    </row>
    <row r="642" customFormat="false" ht="15.75" hidden="false" customHeight="false" outlineLevel="0" collapsed="false">
      <c r="A642" s="5" t="s">
        <v>1372</v>
      </c>
      <c r="B642" s="5" t="s">
        <v>1373</v>
      </c>
      <c r="C642" s="5" t="s">
        <v>180</v>
      </c>
      <c r="D642" s="5" t="s">
        <v>15</v>
      </c>
      <c r="E642" s="2"/>
    </row>
    <row r="643" customFormat="false" ht="15.75" hidden="false" customHeight="false" outlineLevel="0" collapsed="false">
      <c r="A643" s="5" t="s">
        <v>1374</v>
      </c>
      <c r="B643" s="5" t="s">
        <v>1375</v>
      </c>
      <c r="C643" s="5" t="s">
        <v>187</v>
      </c>
      <c r="D643" s="5" t="s">
        <v>345</v>
      </c>
      <c r="E643" s="2"/>
    </row>
    <row r="644" customFormat="false" ht="15.75" hidden="false" customHeight="false" outlineLevel="0" collapsed="false">
      <c r="A644" s="5" t="s">
        <v>1376</v>
      </c>
      <c r="B644" s="5" t="s">
        <v>1377</v>
      </c>
      <c r="C644" s="5" t="s">
        <v>187</v>
      </c>
      <c r="D644" s="5" t="s">
        <v>208</v>
      </c>
      <c r="E644" s="2"/>
    </row>
    <row r="645" customFormat="false" ht="15.75" hidden="false" customHeight="false" outlineLevel="0" collapsed="false">
      <c r="A645" s="5" t="s">
        <v>1378</v>
      </c>
      <c r="B645" s="5"/>
      <c r="C645" s="6" t="n">
        <v>0</v>
      </c>
      <c r="D645" s="5" t="s">
        <v>15</v>
      </c>
      <c r="E645" s="2"/>
    </row>
    <row r="646" customFormat="false" ht="15.75" hidden="false" customHeight="false" outlineLevel="0" collapsed="false">
      <c r="A646" s="5" t="s">
        <v>136</v>
      </c>
      <c r="B646" s="5" t="s">
        <v>137</v>
      </c>
      <c r="C646" s="5" t="s">
        <v>32</v>
      </c>
      <c r="D646" s="5" t="s">
        <v>15</v>
      </c>
      <c r="E646" s="2"/>
    </row>
    <row r="647" customFormat="false" ht="15.75" hidden="false" customHeight="false" outlineLevel="0" collapsed="false">
      <c r="A647" s="5" t="s">
        <v>1379</v>
      </c>
      <c r="B647" s="5" t="s">
        <v>1380</v>
      </c>
      <c r="C647" s="5" t="s">
        <v>191</v>
      </c>
      <c r="D647" s="5" t="s">
        <v>196</v>
      </c>
      <c r="E647" s="2"/>
    </row>
    <row r="648" customFormat="false" ht="15.75" hidden="false" customHeight="false" outlineLevel="0" collapsed="false">
      <c r="A648" s="5" t="s">
        <v>1381</v>
      </c>
      <c r="B648" s="5" t="s">
        <v>1382</v>
      </c>
      <c r="C648" s="5" t="s">
        <v>266</v>
      </c>
      <c r="D648" s="5" t="s">
        <v>196</v>
      </c>
      <c r="E648" s="2"/>
    </row>
    <row r="649" customFormat="false" ht="15.75" hidden="false" customHeight="false" outlineLevel="0" collapsed="false">
      <c r="A649" s="5" t="s">
        <v>1383</v>
      </c>
      <c r="B649" s="5" t="s">
        <v>1384</v>
      </c>
      <c r="C649" s="5" t="s">
        <v>266</v>
      </c>
      <c r="D649" s="5" t="s">
        <v>196</v>
      </c>
      <c r="E649" s="2"/>
    </row>
    <row r="650" customFormat="false" ht="15.75" hidden="false" customHeight="false" outlineLevel="0" collapsed="false">
      <c r="A650" s="5" t="s">
        <v>1385</v>
      </c>
      <c r="B650" s="5" t="s">
        <v>1386</v>
      </c>
      <c r="C650" s="5" t="s">
        <v>180</v>
      </c>
      <c r="D650" s="5" t="s">
        <v>196</v>
      </c>
      <c r="E650" s="2"/>
    </row>
    <row r="651" customFormat="false" ht="15.75" hidden="false" customHeight="false" outlineLevel="0" collapsed="false">
      <c r="A651" s="5" t="s">
        <v>1387</v>
      </c>
      <c r="B651" s="5" t="s">
        <v>1388</v>
      </c>
      <c r="C651" s="5" t="s">
        <v>180</v>
      </c>
      <c r="D651" s="5" t="s">
        <v>15</v>
      </c>
      <c r="E651" s="2"/>
    </row>
    <row r="652" customFormat="false" ht="15.75" hidden="false" customHeight="false" outlineLevel="0" collapsed="false">
      <c r="A652" s="5" t="s">
        <v>1389</v>
      </c>
      <c r="B652" s="5" t="s">
        <v>1390</v>
      </c>
      <c r="C652" s="5" t="s">
        <v>187</v>
      </c>
      <c r="D652" s="5" t="s">
        <v>202</v>
      </c>
      <c r="E652" s="2"/>
    </row>
    <row r="653" customFormat="false" ht="15.75" hidden="false" customHeight="false" outlineLevel="0" collapsed="false">
      <c r="A653" s="5" t="s">
        <v>1391</v>
      </c>
      <c r="B653" s="5" t="s">
        <v>1392</v>
      </c>
      <c r="C653" s="5" t="s">
        <v>187</v>
      </c>
      <c r="D653" s="5" t="s">
        <v>208</v>
      </c>
      <c r="E653" s="2"/>
    </row>
    <row r="654" customFormat="false" ht="15.75" hidden="false" customHeight="false" outlineLevel="0" collapsed="false">
      <c r="A654" s="5" t="s">
        <v>1393</v>
      </c>
      <c r="B654" s="5" t="s">
        <v>1394</v>
      </c>
      <c r="C654" s="5" t="s">
        <v>180</v>
      </c>
      <c r="D654" s="5" t="s">
        <v>15</v>
      </c>
      <c r="E654" s="2"/>
    </row>
    <row r="655" customFormat="false" ht="15.75" hidden="false" customHeight="false" outlineLevel="0" collapsed="false">
      <c r="A655" s="5" t="s">
        <v>1395</v>
      </c>
      <c r="B655" s="5" t="s">
        <v>1396</v>
      </c>
      <c r="C655" s="5" t="s">
        <v>1045</v>
      </c>
      <c r="D655" s="5" t="s">
        <v>196</v>
      </c>
      <c r="E655" s="2"/>
    </row>
    <row r="656" customFormat="false" ht="15.75" hidden="false" customHeight="false" outlineLevel="0" collapsed="false">
      <c r="A656" s="5" t="s">
        <v>1397</v>
      </c>
      <c r="B656" s="5" t="s">
        <v>1398</v>
      </c>
      <c r="C656" s="5" t="s">
        <v>35</v>
      </c>
      <c r="D656" s="5" t="s">
        <v>15</v>
      </c>
      <c r="E656" s="2"/>
    </row>
    <row r="657" customFormat="false" ht="15.75" hidden="false" customHeight="false" outlineLevel="0" collapsed="false">
      <c r="A657" s="5" t="s">
        <v>1399</v>
      </c>
      <c r="B657" s="5" t="s">
        <v>1400</v>
      </c>
      <c r="C657" s="5" t="s">
        <v>187</v>
      </c>
      <c r="D657" s="5" t="s">
        <v>202</v>
      </c>
      <c r="E657" s="2"/>
    </row>
    <row r="658" customFormat="false" ht="15.75" hidden="false" customHeight="false" outlineLevel="0" collapsed="false">
      <c r="A658" s="5" t="s">
        <v>1401</v>
      </c>
      <c r="B658" s="5" t="s">
        <v>1402</v>
      </c>
      <c r="C658" s="5" t="s">
        <v>236</v>
      </c>
      <c r="D658" s="5" t="s">
        <v>184</v>
      </c>
      <c r="E658" s="2"/>
    </row>
    <row r="659" customFormat="false" ht="15.75" hidden="false" customHeight="false" outlineLevel="0" collapsed="false">
      <c r="A659" s="5" t="s">
        <v>1403</v>
      </c>
      <c r="B659" s="5" t="s">
        <v>1404</v>
      </c>
      <c r="C659" s="5" t="s">
        <v>180</v>
      </c>
      <c r="D659" s="5" t="s">
        <v>15</v>
      </c>
      <c r="E659" s="2"/>
    </row>
    <row r="660" customFormat="false" ht="15.75" hidden="false" customHeight="false" outlineLevel="0" collapsed="false">
      <c r="A660" s="5" t="s">
        <v>1405</v>
      </c>
      <c r="B660" s="5" t="s">
        <v>1406</v>
      </c>
      <c r="C660" s="5" t="s">
        <v>187</v>
      </c>
      <c r="D660" s="5" t="s">
        <v>202</v>
      </c>
      <c r="E660" s="2"/>
    </row>
    <row r="661" customFormat="false" ht="15.75" hidden="false" customHeight="false" outlineLevel="0" collapsed="false">
      <c r="A661" s="5" t="s">
        <v>1407</v>
      </c>
      <c r="B661" s="5" t="s">
        <v>1408</v>
      </c>
      <c r="C661" s="6" t="n">
        <v>0</v>
      </c>
      <c r="D661" s="5" t="s">
        <v>15</v>
      </c>
      <c r="E661" s="2"/>
    </row>
    <row r="662" customFormat="false" ht="15.75" hidden="false" customHeight="false" outlineLevel="0" collapsed="false">
      <c r="A662" s="5" t="s">
        <v>1409</v>
      </c>
      <c r="B662" s="5" t="s">
        <v>1410</v>
      </c>
      <c r="C662" s="5" t="s">
        <v>187</v>
      </c>
      <c r="D662" s="5" t="s">
        <v>208</v>
      </c>
      <c r="E662" s="2"/>
    </row>
    <row r="663" customFormat="false" ht="15.75" hidden="false" customHeight="false" outlineLevel="0" collapsed="false">
      <c r="A663" s="5" t="s">
        <v>1411</v>
      </c>
      <c r="B663" s="5" t="s">
        <v>1412</v>
      </c>
      <c r="C663" s="5" t="s">
        <v>187</v>
      </c>
      <c r="D663" s="5" t="s">
        <v>184</v>
      </c>
      <c r="E663" s="2"/>
    </row>
    <row r="664" customFormat="false" ht="15.75" hidden="false" customHeight="false" outlineLevel="0" collapsed="false">
      <c r="A664" s="5" t="s">
        <v>1413</v>
      </c>
      <c r="B664" s="5" t="s">
        <v>1414</v>
      </c>
      <c r="C664" s="5" t="s">
        <v>183</v>
      </c>
      <c r="D664" s="5" t="s">
        <v>208</v>
      </c>
      <c r="E664" s="2"/>
    </row>
    <row r="665" customFormat="false" ht="15.75" hidden="false" customHeight="false" outlineLevel="0" collapsed="false">
      <c r="A665" s="5" t="s">
        <v>1415</v>
      </c>
      <c r="B665" s="5" t="s">
        <v>1416</v>
      </c>
      <c r="C665" s="5" t="s">
        <v>187</v>
      </c>
      <c r="D665" s="5" t="s">
        <v>188</v>
      </c>
      <c r="E665" s="2"/>
    </row>
    <row r="666" customFormat="false" ht="15.75" hidden="false" customHeight="false" outlineLevel="0" collapsed="false">
      <c r="A666" s="5" t="s">
        <v>138</v>
      </c>
      <c r="B666" s="5" t="s">
        <v>139</v>
      </c>
      <c r="C666" s="5" t="s">
        <v>35</v>
      </c>
      <c r="D666" s="5" t="s">
        <v>15</v>
      </c>
      <c r="E666" s="2"/>
    </row>
    <row r="667" customFormat="false" ht="15.75" hidden="false" customHeight="false" outlineLevel="0" collapsed="false">
      <c r="A667" s="5" t="s">
        <v>1417</v>
      </c>
      <c r="B667" s="5" t="s">
        <v>1418</v>
      </c>
      <c r="C667" s="5" t="s">
        <v>1419</v>
      </c>
      <c r="D667" s="5" t="s">
        <v>184</v>
      </c>
      <c r="E667" s="2"/>
    </row>
    <row r="668" customFormat="false" ht="15.75" hidden="false" customHeight="false" outlineLevel="0" collapsed="false">
      <c r="A668" s="5" t="s">
        <v>1420</v>
      </c>
      <c r="B668" s="5" t="s">
        <v>1421</v>
      </c>
      <c r="C668" s="5" t="s">
        <v>266</v>
      </c>
      <c r="D668" s="5" t="s">
        <v>196</v>
      </c>
      <c r="E668" s="2"/>
    </row>
    <row r="669" customFormat="false" ht="15.75" hidden="false" customHeight="false" outlineLevel="0" collapsed="false">
      <c r="A669" s="5" t="s">
        <v>1422</v>
      </c>
      <c r="B669" s="5" t="s">
        <v>1423</v>
      </c>
      <c r="C669" s="5" t="s">
        <v>180</v>
      </c>
      <c r="D669" s="5" t="s">
        <v>199</v>
      </c>
      <c r="E669" s="2"/>
    </row>
    <row r="670" customFormat="false" ht="15.75" hidden="false" customHeight="false" outlineLevel="0" collapsed="false">
      <c r="A670" s="5" t="s">
        <v>1424</v>
      </c>
      <c r="B670" s="5" t="s">
        <v>1425</v>
      </c>
      <c r="C670" s="5" t="s">
        <v>1426</v>
      </c>
      <c r="D670" s="5" t="s">
        <v>208</v>
      </c>
      <c r="E670" s="2"/>
    </row>
    <row r="671" customFormat="false" ht="15.75" hidden="false" customHeight="false" outlineLevel="0" collapsed="false">
      <c r="A671" s="5" t="s">
        <v>1427</v>
      </c>
      <c r="B671" s="5" t="s">
        <v>1428</v>
      </c>
      <c r="C671" s="5" t="s">
        <v>187</v>
      </c>
      <c r="D671" s="5" t="s">
        <v>188</v>
      </c>
      <c r="E671" s="2"/>
    </row>
    <row r="672" customFormat="false" ht="15.75" hidden="false" customHeight="false" outlineLevel="0" collapsed="false">
      <c r="A672" s="5" t="s">
        <v>1429</v>
      </c>
      <c r="B672" s="5" t="s">
        <v>1430</v>
      </c>
      <c r="C672" s="5" t="s">
        <v>187</v>
      </c>
      <c r="D672" s="5" t="s">
        <v>202</v>
      </c>
      <c r="E672" s="2"/>
    </row>
    <row r="673" customFormat="false" ht="15.75" hidden="false" customHeight="false" outlineLevel="0" collapsed="false">
      <c r="A673" s="5" t="s">
        <v>1431</v>
      </c>
      <c r="B673" s="5" t="s">
        <v>1432</v>
      </c>
      <c r="C673" s="5" t="s">
        <v>35</v>
      </c>
      <c r="D673" s="5" t="s">
        <v>15</v>
      </c>
      <c r="E673" s="2"/>
    </row>
    <row r="674" customFormat="false" ht="15.75" hidden="false" customHeight="false" outlineLevel="0" collapsed="false">
      <c r="A674" s="5" t="s">
        <v>1433</v>
      </c>
      <c r="B674" s="5" t="s">
        <v>1434</v>
      </c>
      <c r="C674" s="5" t="s">
        <v>266</v>
      </c>
      <c r="D674" s="5" t="s">
        <v>196</v>
      </c>
      <c r="E674" s="2"/>
    </row>
    <row r="675" customFormat="false" ht="15.75" hidden="false" customHeight="false" outlineLevel="0" collapsed="false">
      <c r="A675" s="5" t="s">
        <v>1435</v>
      </c>
      <c r="B675" s="5" t="s">
        <v>1436</v>
      </c>
      <c r="C675" s="5" t="s">
        <v>180</v>
      </c>
      <c r="D675" s="5" t="s">
        <v>196</v>
      </c>
      <c r="E675" s="2"/>
    </row>
    <row r="676" customFormat="false" ht="15.75" hidden="false" customHeight="false" outlineLevel="0" collapsed="false">
      <c r="A676" s="5" t="s">
        <v>1437</v>
      </c>
      <c r="B676" s="5" t="s">
        <v>1438</v>
      </c>
      <c r="C676" s="5" t="s">
        <v>187</v>
      </c>
      <c r="D676" s="5" t="s">
        <v>257</v>
      </c>
      <c r="E676" s="2"/>
    </row>
    <row r="677" customFormat="false" ht="15.75" hidden="false" customHeight="false" outlineLevel="0" collapsed="false">
      <c r="A677" s="5" t="s">
        <v>1439</v>
      </c>
      <c r="B677" s="5" t="s">
        <v>1440</v>
      </c>
      <c r="C677" s="5" t="s">
        <v>187</v>
      </c>
      <c r="D677" s="5" t="s">
        <v>257</v>
      </c>
      <c r="E677" s="2"/>
    </row>
    <row r="678" customFormat="false" ht="15.75" hidden="false" customHeight="false" outlineLevel="0" collapsed="false">
      <c r="A678" s="5" t="s">
        <v>1441</v>
      </c>
      <c r="B678" s="5" t="s">
        <v>1442</v>
      </c>
      <c r="C678" s="6" t="n">
        <v>0</v>
      </c>
      <c r="D678" s="5" t="s">
        <v>15</v>
      </c>
      <c r="E678" s="2"/>
    </row>
    <row r="679" customFormat="false" ht="15.75" hidden="false" customHeight="false" outlineLevel="0" collapsed="false">
      <c r="A679" s="5" t="s">
        <v>1443</v>
      </c>
      <c r="B679" s="5" t="s">
        <v>1444</v>
      </c>
      <c r="C679" s="5" t="s">
        <v>187</v>
      </c>
      <c r="D679" s="5" t="s">
        <v>257</v>
      </c>
      <c r="E679" s="2"/>
    </row>
    <row r="680" customFormat="false" ht="15.75" hidden="false" customHeight="false" outlineLevel="0" collapsed="false">
      <c r="A680" s="5" t="s">
        <v>1445</v>
      </c>
      <c r="B680" s="5" t="s">
        <v>1446</v>
      </c>
      <c r="C680" s="5" t="s">
        <v>187</v>
      </c>
      <c r="D680" s="5" t="s">
        <v>202</v>
      </c>
      <c r="E680" s="2"/>
    </row>
    <row r="681" customFormat="false" ht="15.75" hidden="false" customHeight="false" outlineLevel="0" collapsed="false">
      <c r="A681" s="5" t="s">
        <v>1447</v>
      </c>
      <c r="B681" s="5" t="s">
        <v>1448</v>
      </c>
      <c r="C681" s="5" t="s">
        <v>187</v>
      </c>
      <c r="D681" s="5" t="s">
        <v>202</v>
      </c>
      <c r="E681" s="2"/>
    </row>
    <row r="682" customFormat="false" ht="15.75" hidden="false" customHeight="false" outlineLevel="0" collapsed="false">
      <c r="A682" s="5" t="s">
        <v>1449</v>
      </c>
      <c r="B682" s="5" t="s">
        <v>1450</v>
      </c>
      <c r="C682" s="5" t="s">
        <v>187</v>
      </c>
      <c r="D682" s="5" t="s">
        <v>196</v>
      </c>
      <c r="E682" s="2"/>
    </row>
    <row r="683" customFormat="false" ht="15.75" hidden="false" customHeight="false" outlineLevel="0" collapsed="false">
      <c r="A683" s="5" t="s">
        <v>1451</v>
      </c>
      <c r="B683" s="5" t="s">
        <v>1452</v>
      </c>
      <c r="C683" s="5" t="s">
        <v>187</v>
      </c>
      <c r="D683" s="5" t="s">
        <v>188</v>
      </c>
      <c r="E683" s="2"/>
    </row>
    <row r="684" customFormat="false" ht="15.75" hidden="false" customHeight="false" outlineLevel="0" collapsed="false">
      <c r="A684" s="5" t="s">
        <v>1453</v>
      </c>
      <c r="B684" s="5" t="s">
        <v>1454</v>
      </c>
      <c r="C684" s="5" t="s">
        <v>35</v>
      </c>
      <c r="D684" s="5" t="s">
        <v>15</v>
      </c>
      <c r="E684" s="2"/>
    </row>
    <row r="685" customFormat="false" ht="15.75" hidden="false" customHeight="false" outlineLevel="0" collapsed="false">
      <c r="A685" s="5" t="s">
        <v>1455</v>
      </c>
      <c r="B685" s="5" t="s">
        <v>1456</v>
      </c>
      <c r="C685" s="5" t="s">
        <v>187</v>
      </c>
      <c r="D685" s="5" t="s">
        <v>257</v>
      </c>
      <c r="E685" s="2"/>
    </row>
    <row r="686" customFormat="false" ht="15.75" hidden="false" customHeight="false" outlineLevel="0" collapsed="false">
      <c r="A686" s="5" t="s">
        <v>140</v>
      </c>
      <c r="B686" s="5" t="s">
        <v>141</v>
      </c>
      <c r="C686" s="5" t="s">
        <v>142</v>
      </c>
      <c r="D686" s="5" t="s">
        <v>15</v>
      </c>
      <c r="E686" s="2"/>
    </row>
    <row r="687" customFormat="false" ht="15.75" hidden="false" customHeight="false" outlineLevel="0" collapsed="false">
      <c r="A687" s="5" t="s">
        <v>1457</v>
      </c>
      <c r="B687" s="5" t="s">
        <v>1458</v>
      </c>
      <c r="C687" s="5" t="s">
        <v>180</v>
      </c>
      <c r="D687" s="5" t="s">
        <v>15</v>
      </c>
      <c r="E687" s="2"/>
    </row>
    <row r="688" customFormat="false" ht="15.75" hidden="false" customHeight="false" outlineLevel="0" collapsed="false">
      <c r="A688" s="5" t="s">
        <v>1459</v>
      </c>
      <c r="B688" s="5" t="s">
        <v>1460</v>
      </c>
      <c r="C688" s="5" t="s">
        <v>180</v>
      </c>
      <c r="D688" s="5" t="s">
        <v>199</v>
      </c>
      <c r="E688" s="2"/>
    </row>
    <row r="689" customFormat="false" ht="15.75" hidden="false" customHeight="false" outlineLevel="0" collapsed="false">
      <c r="A689" s="5" t="s">
        <v>1461</v>
      </c>
      <c r="B689" s="5" t="s">
        <v>1462</v>
      </c>
      <c r="C689" s="5" t="s">
        <v>183</v>
      </c>
      <c r="D689" s="5" t="s">
        <v>184</v>
      </c>
      <c r="E689" s="2"/>
    </row>
    <row r="690" customFormat="false" ht="15.75" hidden="false" customHeight="false" outlineLevel="0" collapsed="false">
      <c r="A690" s="5" t="s">
        <v>1463</v>
      </c>
      <c r="B690" s="5" t="s">
        <v>1464</v>
      </c>
      <c r="C690" s="5" t="s">
        <v>266</v>
      </c>
      <c r="D690" s="5" t="s">
        <v>196</v>
      </c>
      <c r="E690" s="2"/>
    </row>
    <row r="691" customFormat="false" ht="15.75" hidden="false" customHeight="false" outlineLevel="0" collapsed="false">
      <c r="A691" s="5" t="s">
        <v>1465</v>
      </c>
      <c r="B691" s="5" t="s">
        <v>1466</v>
      </c>
      <c r="C691" s="6" t="n">
        <v>0</v>
      </c>
      <c r="D691" s="5" t="s">
        <v>15</v>
      </c>
      <c r="E691" s="2"/>
    </row>
    <row r="692" customFormat="false" ht="15.75" hidden="false" customHeight="false" outlineLevel="0" collapsed="false">
      <c r="A692" s="5" t="s">
        <v>1467</v>
      </c>
      <c r="B692" s="5" t="s">
        <v>1468</v>
      </c>
      <c r="C692" s="5" t="s">
        <v>187</v>
      </c>
      <c r="D692" s="5" t="s">
        <v>257</v>
      </c>
      <c r="E692" s="2"/>
    </row>
    <row r="693" customFormat="false" ht="15.75" hidden="false" customHeight="false" outlineLevel="0" collapsed="false">
      <c r="A693" s="5" t="s">
        <v>1469</v>
      </c>
      <c r="B693" s="5" t="s">
        <v>1470</v>
      </c>
      <c r="C693" s="5" t="s">
        <v>180</v>
      </c>
      <c r="D693" s="5" t="s">
        <v>199</v>
      </c>
      <c r="E693" s="2"/>
    </row>
    <row r="694" customFormat="false" ht="15.75" hidden="false" customHeight="false" outlineLevel="0" collapsed="false">
      <c r="A694" s="5" t="s">
        <v>143</v>
      </c>
      <c r="B694" s="5" t="s">
        <v>144</v>
      </c>
      <c r="C694" s="5" t="s">
        <v>145</v>
      </c>
      <c r="D694" s="5" t="s">
        <v>15</v>
      </c>
      <c r="E694" s="2"/>
    </row>
    <row r="695" customFormat="false" ht="15.75" hidden="false" customHeight="false" outlineLevel="0" collapsed="false">
      <c r="A695" s="5" t="s">
        <v>146</v>
      </c>
      <c r="B695" s="5" t="s">
        <v>147</v>
      </c>
      <c r="C695" s="5" t="s">
        <v>145</v>
      </c>
      <c r="D695" s="5" t="s">
        <v>15</v>
      </c>
      <c r="E695" s="2"/>
    </row>
    <row r="696" customFormat="false" ht="15.75" hidden="false" customHeight="false" outlineLevel="0" collapsed="false">
      <c r="A696" s="5" t="s">
        <v>148</v>
      </c>
      <c r="B696" s="5" t="s">
        <v>149</v>
      </c>
      <c r="C696" s="5" t="s">
        <v>145</v>
      </c>
      <c r="D696" s="5" t="s">
        <v>15</v>
      </c>
      <c r="E696" s="2"/>
    </row>
    <row r="697" customFormat="false" ht="15.75" hidden="false" customHeight="false" outlineLevel="0" collapsed="false">
      <c r="A697" s="5" t="s">
        <v>1471</v>
      </c>
      <c r="B697" s="5" t="s">
        <v>1472</v>
      </c>
      <c r="C697" s="5" t="s">
        <v>145</v>
      </c>
      <c r="D697" s="5" t="s">
        <v>15</v>
      </c>
      <c r="E697" s="2"/>
    </row>
    <row r="698" customFormat="false" ht="15.75" hidden="false" customHeight="false" outlineLevel="0" collapsed="false">
      <c r="A698" s="5" t="s">
        <v>1473</v>
      </c>
      <c r="B698" s="5" t="s">
        <v>1474</v>
      </c>
      <c r="C698" s="5" t="s">
        <v>187</v>
      </c>
      <c r="D698" s="5" t="s">
        <v>196</v>
      </c>
      <c r="E698" s="2"/>
    </row>
    <row r="699" customFormat="false" ht="15.75" hidden="false" customHeight="false" outlineLevel="0" collapsed="false">
      <c r="A699" s="5" t="s">
        <v>1475</v>
      </c>
      <c r="B699" s="5" t="s">
        <v>1476</v>
      </c>
      <c r="C699" s="5" t="s">
        <v>187</v>
      </c>
      <c r="D699" s="5" t="s">
        <v>202</v>
      </c>
      <c r="E699" s="2"/>
    </row>
    <row r="700" customFormat="false" ht="15.75" hidden="false" customHeight="false" outlineLevel="0" collapsed="false">
      <c r="A700" s="5" t="s">
        <v>1477</v>
      </c>
      <c r="B700" s="5" t="s">
        <v>1478</v>
      </c>
      <c r="C700" s="5" t="s">
        <v>187</v>
      </c>
      <c r="D700" s="5" t="s">
        <v>196</v>
      </c>
      <c r="E700" s="2"/>
    </row>
    <row r="701" customFormat="false" ht="15.75" hidden="false" customHeight="false" outlineLevel="0" collapsed="false">
      <c r="A701" s="5" t="s">
        <v>1479</v>
      </c>
      <c r="B701" s="5" t="s">
        <v>1480</v>
      </c>
      <c r="C701" s="5" t="s">
        <v>187</v>
      </c>
      <c r="D701" s="5" t="s">
        <v>196</v>
      </c>
      <c r="E701" s="2"/>
    </row>
    <row r="702" customFormat="false" ht="15.75" hidden="false" customHeight="false" outlineLevel="0" collapsed="false">
      <c r="A702" s="5" t="s">
        <v>1481</v>
      </c>
      <c r="B702" s="5" t="s">
        <v>1482</v>
      </c>
      <c r="C702" s="5" t="s">
        <v>187</v>
      </c>
      <c r="D702" s="5" t="s">
        <v>199</v>
      </c>
      <c r="E702" s="2"/>
    </row>
    <row r="703" customFormat="false" ht="15.75" hidden="false" customHeight="false" outlineLevel="0" collapsed="false">
      <c r="A703" s="5" t="s">
        <v>1483</v>
      </c>
      <c r="B703" s="5" t="s">
        <v>1484</v>
      </c>
      <c r="C703" s="5" t="s">
        <v>180</v>
      </c>
      <c r="D703" s="5" t="s">
        <v>15</v>
      </c>
      <c r="E703" s="2"/>
    </row>
    <row r="704" customFormat="false" ht="15.75" hidden="false" customHeight="false" outlineLevel="0" collapsed="false">
      <c r="A704" s="5" t="s">
        <v>1485</v>
      </c>
      <c r="B704" s="5" t="s">
        <v>1486</v>
      </c>
      <c r="C704" s="5" t="s">
        <v>187</v>
      </c>
      <c r="D704" s="5" t="s">
        <v>202</v>
      </c>
      <c r="E704" s="2"/>
    </row>
    <row r="705" customFormat="false" ht="15.75" hidden="false" customHeight="false" outlineLevel="0" collapsed="false">
      <c r="A705" s="5" t="s">
        <v>150</v>
      </c>
      <c r="B705" s="5" t="s">
        <v>151</v>
      </c>
      <c r="C705" s="5" t="s">
        <v>35</v>
      </c>
      <c r="D705" s="5" t="s">
        <v>15</v>
      </c>
      <c r="E705" s="2"/>
    </row>
    <row r="706" customFormat="false" ht="15.75" hidden="false" customHeight="false" outlineLevel="0" collapsed="false">
      <c r="A706" s="5" t="s">
        <v>1487</v>
      </c>
      <c r="B706" s="5" t="s">
        <v>1488</v>
      </c>
      <c r="C706" s="5" t="s">
        <v>187</v>
      </c>
      <c r="D706" s="5" t="s">
        <v>196</v>
      </c>
      <c r="E706" s="2"/>
    </row>
    <row r="707" customFormat="false" ht="15.75" hidden="false" customHeight="false" outlineLevel="0" collapsed="false">
      <c r="A707" s="5" t="s">
        <v>1489</v>
      </c>
      <c r="B707" s="5" t="s">
        <v>1490</v>
      </c>
      <c r="C707" s="5" t="s">
        <v>180</v>
      </c>
      <c r="D707" s="5" t="s">
        <v>199</v>
      </c>
      <c r="E707" s="2"/>
    </row>
    <row r="708" customFormat="false" ht="15.75" hidden="false" customHeight="false" outlineLevel="0" collapsed="false">
      <c r="A708" s="5" t="s">
        <v>1491</v>
      </c>
      <c r="B708" s="5" t="s">
        <v>1492</v>
      </c>
      <c r="C708" s="5" t="s">
        <v>187</v>
      </c>
      <c r="D708" s="5" t="s">
        <v>202</v>
      </c>
      <c r="E708" s="2"/>
    </row>
    <row r="709" customFormat="false" ht="15.75" hidden="false" customHeight="false" outlineLevel="0" collapsed="false">
      <c r="A709" s="5" t="s">
        <v>1493</v>
      </c>
      <c r="B709" s="5" t="s">
        <v>1494</v>
      </c>
      <c r="C709" s="5" t="s">
        <v>180</v>
      </c>
      <c r="D709" s="5" t="s">
        <v>15</v>
      </c>
      <c r="E709" s="2"/>
    </row>
    <row r="710" customFormat="false" ht="15.75" hidden="false" customHeight="false" outlineLevel="0" collapsed="false">
      <c r="A710" s="5" t="s">
        <v>1495</v>
      </c>
      <c r="B710" s="5" t="s">
        <v>1496</v>
      </c>
      <c r="C710" s="5" t="s">
        <v>187</v>
      </c>
      <c r="D710" s="5" t="s">
        <v>196</v>
      </c>
      <c r="E710" s="2"/>
    </row>
    <row r="711" customFormat="false" ht="15.75" hidden="false" customHeight="false" outlineLevel="0" collapsed="false">
      <c r="A711" s="5" t="s">
        <v>1497</v>
      </c>
      <c r="B711" s="5" t="s">
        <v>1498</v>
      </c>
      <c r="C711" s="5" t="s">
        <v>180</v>
      </c>
      <c r="D711" s="5" t="s">
        <v>15</v>
      </c>
      <c r="E711" s="2"/>
    </row>
    <row r="712" customFormat="false" ht="15.75" hidden="false" customHeight="false" outlineLevel="0" collapsed="false">
      <c r="A712" s="5" t="s">
        <v>1499</v>
      </c>
      <c r="B712" s="5" t="s">
        <v>1500</v>
      </c>
      <c r="C712" s="5" t="s">
        <v>187</v>
      </c>
      <c r="D712" s="5" t="s">
        <v>208</v>
      </c>
      <c r="E712" s="2"/>
    </row>
    <row r="713" customFormat="false" ht="15.75" hidden="false" customHeight="false" outlineLevel="0" collapsed="false">
      <c r="A713" s="5" t="s">
        <v>1501</v>
      </c>
      <c r="B713" s="5" t="s">
        <v>1502</v>
      </c>
      <c r="C713" s="5" t="s">
        <v>187</v>
      </c>
      <c r="D713" s="5" t="s">
        <v>196</v>
      </c>
      <c r="E713" s="2"/>
    </row>
    <row r="714" customFormat="false" ht="15.75" hidden="false" customHeight="false" outlineLevel="0" collapsed="false">
      <c r="A714" s="5" t="s">
        <v>1503</v>
      </c>
      <c r="B714" s="5" t="s">
        <v>1504</v>
      </c>
      <c r="C714" s="5" t="s">
        <v>187</v>
      </c>
      <c r="D714" s="5" t="s">
        <v>202</v>
      </c>
      <c r="E714" s="2"/>
    </row>
    <row r="715" customFormat="false" ht="15.75" hidden="false" customHeight="false" outlineLevel="0" collapsed="false">
      <c r="A715" s="5" t="s">
        <v>1505</v>
      </c>
      <c r="B715" s="5" t="s">
        <v>1506</v>
      </c>
      <c r="C715" s="5" t="s">
        <v>187</v>
      </c>
      <c r="D715" s="5" t="s">
        <v>208</v>
      </c>
      <c r="E715" s="2"/>
    </row>
    <row r="716" customFormat="false" ht="15.75" hidden="false" customHeight="false" outlineLevel="0" collapsed="false">
      <c r="A716" s="5" t="s">
        <v>1507</v>
      </c>
      <c r="B716" s="5" t="s">
        <v>1508</v>
      </c>
      <c r="C716" s="5" t="s">
        <v>187</v>
      </c>
      <c r="D716" s="5" t="s">
        <v>208</v>
      </c>
      <c r="E716" s="2"/>
    </row>
    <row r="717" customFormat="false" ht="15.75" hidden="false" customHeight="false" outlineLevel="0" collapsed="false">
      <c r="A717" s="5" t="s">
        <v>1509</v>
      </c>
      <c r="B717" s="5" t="s">
        <v>1510</v>
      </c>
      <c r="C717" s="5" t="s">
        <v>187</v>
      </c>
      <c r="D717" s="5" t="s">
        <v>208</v>
      </c>
      <c r="E717" s="2"/>
    </row>
    <row r="718" customFormat="false" ht="15.75" hidden="false" customHeight="false" outlineLevel="0" collapsed="false">
      <c r="A718" s="5" t="s">
        <v>1511</v>
      </c>
      <c r="B718" s="5" t="s">
        <v>1512</v>
      </c>
      <c r="C718" s="5" t="s">
        <v>187</v>
      </c>
      <c r="D718" s="5" t="s">
        <v>188</v>
      </c>
      <c r="E718" s="2"/>
    </row>
    <row r="719" customFormat="false" ht="15.75" hidden="false" customHeight="false" outlineLevel="0" collapsed="false">
      <c r="A719" s="5" t="s">
        <v>1513</v>
      </c>
      <c r="B719" s="5" t="s">
        <v>1514</v>
      </c>
      <c r="C719" s="5" t="s">
        <v>187</v>
      </c>
      <c r="D719" s="5" t="s">
        <v>202</v>
      </c>
      <c r="E719" s="2"/>
    </row>
    <row r="720" customFormat="false" ht="15.75" hidden="false" customHeight="false" outlineLevel="0" collapsed="false">
      <c r="A720" s="5" t="s">
        <v>1515</v>
      </c>
      <c r="B720" s="5" t="s">
        <v>1516</v>
      </c>
      <c r="C720" s="5" t="s">
        <v>187</v>
      </c>
      <c r="D720" s="5" t="s">
        <v>208</v>
      </c>
      <c r="E720" s="2"/>
    </row>
    <row r="721" customFormat="false" ht="15.75" hidden="false" customHeight="false" outlineLevel="0" collapsed="false">
      <c r="A721" s="5" t="s">
        <v>1517</v>
      </c>
      <c r="B721" s="5" t="s">
        <v>1518</v>
      </c>
      <c r="C721" s="5" t="s">
        <v>180</v>
      </c>
      <c r="D721" s="5" t="s">
        <v>15</v>
      </c>
      <c r="E721" s="2"/>
    </row>
    <row r="722" customFormat="false" ht="15.75" hidden="false" customHeight="false" outlineLevel="0" collapsed="false">
      <c r="A722" s="5" t="s">
        <v>152</v>
      </c>
      <c r="B722" s="5" t="s">
        <v>153</v>
      </c>
      <c r="C722" s="5" t="s">
        <v>145</v>
      </c>
      <c r="D722" s="5" t="s">
        <v>15</v>
      </c>
      <c r="E722" s="2"/>
    </row>
    <row r="723" customFormat="false" ht="15.75" hidden="false" customHeight="false" outlineLevel="0" collapsed="false">
      <c r="A723" s="5" t="s">
        <v>1519</v>
      </c>
      <c r="B723" s="5" t="s">
        <v>1520</v>
      </c>
      <c r="C723" s="5" t="s">
        <v>187</v>
      </c>
      <c r="D723" s="5" t="s">
        <v>208</v>
      </c>
      <c r="E723" s="2"/>
    </row>
    <row r="724" customFormat="false" ht="15.75" hidden="false" customHeight="false" outlineLevel="0" collapsed="false">
      <c r="A724" s="5" t="s">
        <v>1521</v>
      </c>
      <c r="B724" s="5" t="s">
        <v>1522</v>
      </c>
      <c r="C724" s="5" t="s">
        <v>187</v>
      </c>
      <c r="D724" s="5" t="s">
        <v>202</v>
      </c>
      <c r="E724" s="2"/>
    </row>
    <row r="725" customFormat="false" ht="15.75" hidden="false" customHeight="false" outlineLevel="0" collapsed="false">
      <c r="A725" s="5" t="s">
        <v>154</v>
      </c>
      <c r="B725" s="5" t="s">
        <v>155</v>
      </c>
      <c r="C725" s="5" t="s">
        <v>156</v>
      </c>
      <c r="D725" s="5" t="s">
        <v>15</v>
      </c>
      <c r="E725" s="2"/>
    </row>
    <row r="726" customFormat="false" ht="15.75" hidden="false" customHeight="false" outlineLevel="0" collapsed="false">
      <c r="A726" s="5" t="s">
        <v>1523</v>
      </c>
      <c r="B726" s="5" t="s">
        <v>1524</v>
      </c>
      <c r="C726" s="5" t="s">
        <v>287</v>
      </c>
      <c r="D726" s="5" t="s">
        <v>208</v>
      </c>
      <c r="E726" s="2"/>
    </row>
    <row r="727" customFormat="false" ht="15.75" hidden="false" customHeight="false" outlineLevel="0" collapsed="false">
      <c r="A727" s="5" t="s">
        <v>1525</v>
      </c>
      <c r="B727" s="5" t="s">
        <v>1526</v>
      </c>
      <c r="C727" s="5" t="s">
        <v>187</v>
      </c>
      <c r="D727" s="5" t="s">
        <v>208</v>
      </c>
      <c r="E727" s="2"/>
    </row>
    <row r="728" customFormat="false" ht="15.75" hidden="false" customHeight="false" outlineLevel="0" collapsed="false">
      <c r="A728" s="5" t="s">
        <v>1527</v>
      </c>
      <c r="B728" s="5" t="s">
        <v>1528</v>
      </c>
      <c r="C728" s="5" t="s">
        <v>187</v>
      </c>
      <c r="D728" s="5" t="s">
        <v>188</v>
      </c>
      <c r="E728" s="2"/>
    </row>
    <row r="729" customFormat="false" ht="15.75" hidden="false" customHeight="false" outlineLevel="0" collapsed="false">
      <c r="A729" s="5" t="s">
        <v>1529</v>
      </c>
      <c r="B729" s="5" t="s">
        <v>1530</v>
      </c>
      <c r="C729" s="5" t="s">
        <v>187</v>
      </c>
      <c r="D729" s="5" t="s">
        <v>208</v>
      </c>
      <c r="E729" s="2"/>
    </row>
    <row r="730" customFormat="false" ht="15.75" hidden="false" customHeight="false" outlineLevel="0" collapsed="false">
      <c r="A730" s="5" t="s">
        <v>1531</v>
      </c>
      <c r="B730" s="5" t="s">
        <v>1532</v>
      </c>
      <c r="C730" s="5" t="s">
        <v>187</v>
      </c>
      <c r="D730" s="5" t="s">
        <v>199</v>
      </c>
      <c r="E730" s="2"/>
    </row>
    <row r="731" customFormat="false" ht="15.75" hidden="false" customHeight="false" outlineLevel="0" collapsed="false">
      <c r="A731" s="5" t="s">
        <v>1533</v>
      </c>
      <c r="B731" s="5" t="s">
        <v>1534</v>
      </c>
      <c r="C731" s="5" t="s">
        <v>215</v>
      </c>
      <c r="D731" s="5" t="s">
        <v>208</v>
      </c>
      <c r="E731" s="2"/>
    </row>
    <row r="732" customFormat="false" ht="15.75" hidden="false" customHeight="false" outlineLevel="0" collapsed="false">
      <c r="A732" s="5" t="s">
        <v>1535</v>
      </c>
      <c r="B732" s="5" t="s">
        <v>1536</v>
      </c>
      <c r="C732" s="5" t="s">
        <v>187</v>
      </c>
      <c r="D732" s="5" t="s">
        <v>208</v>
      </c>
      <c r="E732" s="2"/>
    </row>
    <row r="733" customFormat="false" ht="15.75" hidden="false" customHeight="false" outlineLevel="0" collapsed="false">
      <c r="A733" s="5" t="s">
        <v>1537</v>
      </c>
      <c r="B733" s="5" t="s">
        <v>1538</v>
      </c>
      <c r="C733" s="5" t="s">
        <v>180</v>
      </c>
      <c r="D733" s="5" t="s">
        <v>15</v>
      </c>
      <c r="E733" s="2"/>
    </row>
    <row r="734" customFormat="false" ht="15.75" hidden="false" customHeight="false" outlineLevel="0" collapsed="false">
      <c r="A734" s="5" t="s">
        <v>1539</v>
      </c>
      <c r="B734" s="5" t="s">
        <v>1540</v>
      </c>
      <c r="C734" s="5" t="s">
        <v>187</v>
      </c>
      <c r="D734" s="5" t="s">
        <v>184</v>
      </c>
      <c r="E734" s="2"/>
    </row>
    <row r="735" customFormat="false" ht="15.75" hidden="false" customHeight="false" outlineLevel="0" collapsed="false">
      <c r="A735" s="5" t="s">
        <v>1541</v>
      </c>
      <c r="B735" s="5" t="s">
        <v>1542</v>
      </c>
      <c r="C735" s="5" t="s">
        <v>187</v>
      </c>
      <c r="D735" s="5" t="s">
        <v>196</v>
      </c>
      <c r="E735" s="2"/>
    </row>
    <row r="736" customFormat="false" ht="15.75" hidden="false" customHeight="false" outlineLevel="0" collapsed="false">
      <c r="A736" s="5" t="s">
        <v>1543</v>
      </c>
      <c r="B736" s="5" t="s">
        <v>1544</v>
      </c>
      <c r="C736" s="5" t="s">
        <v>187</v>
      </c>
      <c r="D736" s="5" t="s">
        <v>196</v>
      </c>
      <c r="E736" s="2"/>
    </row>
    <row r="737" customFormat="false" ht="15.75" hidden="false" customHeight="false" outlineLevel="0" collapsed="false">
      <c r="A737" s="5" t="s">
        <v>157</v>
      </c>
      <c r="B737" s="5" t="s">
        <v>158</v>
      </c>
      <c r="C737" s="5" t="s">
        <v>21</v>
      </c>
      <c r="D737" s="5" t="s">
        <v>15</v>
      </c>
      <c r="E737" s="2"/>
    </row>
    <row r="738" customFormat="false" ht="15.75" hidden="false" customHeight="false" outlineLevel="0" collapsed="false">
      <c r="A738" s="5" t="s">
        <v>1545</v>
      </c>
      <c r="B738" s="5" t="s">
        <v>1546</v>
      </c>
      <c r="C738" s="5" t="s">
        <v>180</v>
      </c>
      <c r="D738" s="5" t="s">
        <v>15</v>
      </c>
      <c r="E738" s="2"/>
    </row>
    <row r="739" customFormat="false" ht="15.75" hidden="false" customHeight="false" outlineLevel="0" collapsed="false">
      <c r="A739" s="5" t="s">
        <v>1547</v>
      </c>
      <c r="B739" s="5" t="s">
        <v>1548</v>
      </c>
      <c r="C739" s="5" t="s">
        <v>187</v>
      </c>
      <c r="D739" s="5" t="s">
        <v>202</v>
      </c>
      <c r="E739" s="2"/>
    </row>
    <row r="740" customFormat="false" ht="15.75" hidden="false" customHeight="false" outlineLevel="0" collapsed="false">
      <c r="A740" s="5" t="s">
        <v>1549</v>
      </c>
      <c r="B740" s="5" t="s">
        <v>1550</v>
      </c>
      <c r="C740" s="5" t="s">
        <v>187</v>
      </c>
      <c r="D740" s="5" t="s">
        <v>202</v>
      </c>
      <c r="E740" s="2"/>
    </row>
    <row r="741" customFormat="false" ht="15.75" hidden="false" customHeight="false" outlineLevel="0" collapsed="false">
      <c r="A741" s="5" t="s">
        <v>1551</v>
      </c>
      <c r="B741" s="5" t="s">
        <v>1552</v>
      </c>
      <c r="C741" s="5" t="s">
        <v>187</v>
      </c>
      <c r="D741" s="5" t="s">
        <v>188</v>
      </c>
      <c r="E741" s="2"/>
    </row>
    <row r="742" customFormat="false" ht="15.75" hidden="false" customHeight="false" outlineLevel="0" collapsed="false">
      <c r="A742" s="5" t="s">
        <v>1553</v>
      </c>
      <c r="B742" s="5" t="s">
        <v>1554</v>
      </c>
      <c r="C742" s="5" t="s">
        <v>180</v>
      </c>
      <c r="D742" s="5" t="s">
        <v>199</v>
      </c>
      <c r="E742" s="2"/>
    </row>
    <row r="743" customFormat="false" ht="15.75" hidden="false" customHeight="false" outlineLevel="0" collapsed="false">
      <c r="A743" s="5" t="s">
        <v>1555</v>
      </c>
      <c r="B743" s="5" t="s">
        <v>1556</v>
      </c>
      <c r="C743" s="5" t="s">
        <v>180</v>
      </c>
      <c r="D743" s="5" t="s">
        <v>199</v>
      </c>
      <c r="E743" s="2"/>
    </row>
    <row r="744" customFormat="false" ht="15.75" hidden="false" customHeight="false" outlineLevel="0" collapsed="false">
      <c r="A744" s="5" t="s">
        <v>1557</v>
      </c>
      <c r="B744" s="5" t="s">
        <v>1558</v>
      </c>
      <c r="C744" s="5" t="s">
        <v>183</v>
      </c>
      <c r="D744" s="5" t="s">
        <v>184</v>
      </c>
      <c r="E744" s="2"/>
    </row>
    <row r="745" customFormat="false" ht="15.75" hidden="false" customHeight="false" outlineLevel="0" collapsed="false">
      <c r="A745" s="5" t="s">
        <v>1559</v>
      </c>
      <c r="B745" s="5" t="s">
        <v>1560</v>
      </c>
      <c r="C745" s="5" t="s">
        <v>187</v>
      </c>
      <c r="D745" s="5" t="s">
        <v>202</v>
      </c>
      <c r="E745" s="2"/>
    </row>
    <row r="746" customFormat="false" ht="15.75" hidden="false" customHeight="false" outlineLevel="0" collapsed="false">
      <c r="A746" s="5" t="s">
        <v>1561</v>
      </c>
      <c r="B746" s="5" t="s">
        <v>1562</v>
      </c>
      <c r="C746" s="5" t="s">
        <v>180</v>
      </c>
      <c r="D746" s="5" t="s">
        <v>199</v>
      </c>
      <c r="E746" s="2"/>
    </row>
    <row r="747" customFormat="false" ht="15.75" hidden="false" customHeight="false" outlineLevel="0" collapsed="false">
      <c r="A747" s="5" t="s">
        <v>1563</v>
      </c>
      <c r="B747" s="5" t="s">
        <v>1564</v>
      </c>
      <c r="C747" s="5" t="s">
        <v>266</v>
      </c>
      <c r="D747" s="5" t="s">
        <v>196</v>
      </c>
      <c r="E747" s="2"/>
    </row>
    <row r="748" customFormat="false" ht="15.75" hidden="false" customHeight="false" outlineLevel="0" collapsed="false">
      <c r="A748" s="5" t="s">
        <v>1565</v>
      </c>
      <c r="B748" s="5" t="s">
        <v>1566</v>
      </c>
      <c r="C748" s="5" t="s">
        <v>180</v>
      </c>
      <c r="D748" s="5" t="s">
        <v>199</v>
      </c>
      <c r="E748" s="2"/>
    </row>
    <row r="749" customFormat="false" ht="15.75" hidden="false" customHeight="false" outlineLevel="0" collapsed="false">
      <c r="A749" s="5" t="s">
        <v>1567</v>
      </c>
      <c r="B749" s="5" t="s">
        <v>1568</v>
      </c>
      <c r="C749" s="5" t="s">
        <v>187</v>
      </c>
      <c r="D749" s="5" t="s">
        <v>257</v>
      </c>
      <c r="E749" s="2"/>
    </row>
    <row r="750" customFormat="false" ht="15.75" hidden="false" customHeight="false" outlineLevel="0" collapsed="false">
      <c r="A750" s="5" t="s">
        <v>1569</v>
      </c>
      <c r="B750" s="5" t="s">
        <v>1570</v>
      </c>
      <c r="C750" s="5" t="s">
        <v>187</v>
      </c>
      <c r="D750" s="5" t="s">
        <v>196</v>
      </c>
      <c r="E750" s="2"/>
    </row>
    <row r="751" customFormat="false" ht="15.75" hidden="false" customHeight="false" outlineLevel="0" collapsed="false">
      <c r="A751" s="5" t="s">
        <v>1571</v>
      </c>
      <c r="B751" s="5" t="s">
        <v>1572</v>
      </c>
      <c r="C751" s="5" t="s">
        <v>187</v>
      </c>
      <c r="D751" s="5" t="s">
        <v>257</v>
      </c>
      <c r="E751" s="2"/>
    </row>
    <row r="752" customFormat="false" ht="15.75" hidden="false" customHeight="false" outlineLevel="0" collapsed="false">
      <c r="A752" s="5" t="s">
        <v>1573</v>
      </c>
      <c r="B752" s="5" t="s">
        <v>1574</v>
      </c>
      <c r="C752" s="5" t="s">
        <v>187</v>
      </c>
      <c r="D752" s="5" t="s">
        <v>199</v>
      </c>
      <c r="E752" s="2"/>
    </row>
    <row r="753" customFormat="false" ht="15.75" hidden="false" customHeight="false" outlineLevel="0" collapsed="false">
      <c r="A753" s="5" t="s">
        <v>1575</v>
      </c>
      <c r="B753" s="5" t="s">
        <v>1576</v>
      </c>
      <c r="C753" s="5" t="s">
        <v>715</v>
      </c>
      <c r="D753" s="5" t="s">
        <v>184</v>
      </c>
      <c r="E753" s="2"/>
    </row>
    <row r="754" customFormat="false" ht="15.75" hidden="false" customHeight="false" outlineLevel="0" collapsed="false">
      <c r="A754" s="5" t="s">
        <v>1577</v>
      </c>
      <c r="B754" s="5" t="s">
        <v>1578</v>
      </c>
      <c r="C754" s="5" t="s">
        <v>287</v>
      </c>
      <c r="D754" s="5" t="s">
        <v>208</v>
      </c>
      <c r="E754" s="2"/>
    </row>
    <row r="755" customFormat="false" ht="15.75" hidden="false" customHeight="false" outlineLevel="0" collapsed="false">
      <c r="A755" s="5" t="s">
        <v>1579</v>
      </c>
      <c r="B755" s="5" t="s">
        <v>1580</v>
      </c>
      <c r="C755" s="5" t="s">
        <v>187</v>
      </c>
      <c r="D755" s="5" t="s">
        <v>208</v>
      </c>
      <c r="E755" s="2"/>
    </row>
    <row r="756" customFormat="false" ht="15.75" hidden="false" customHeight="false" outlineLevel="0" collapsed="false">
      <c r="A756" s="5" t="s">
        <v>1581</v>
      </c>
      <c r="B756" s="5" t="s">
        <v>1582</v>
      </c>
      <c r="C756" s="5" t="s">
        <v>183</v>
      </c>
      <c r="D756" s="5" t="s">
        <v>184</v>
      </c>
      <c r="E756" s="2"/>
    </row>
    <row r="757" customFormat="false" ht="15.75" hidden="false" customHeight="false" outlineLevel="0" collapsed="false">
      <c r="A757" s="5" t="s">
        <v>1583</v>
      </c>
      <c r="B757" s="5" t="s">
        <v>1584</v>
      </c>
      <c r="C757" s="5" t="s">
        <v>187</v>
      </c>
      <c r="D757" s="5" t="s">
        <v>202</v>
      </c>
      <c r="E757" s="2"/>
    </row>
    <row r="758" customFormat="false" ht="15.75" hidden="false" customHeight="false" outlineLevel="0" collapsed="false">
      <c r="A758" s="5" t="s">
        <v>1585</v>
      </c>
      <c r="B758" s="5" t="s">
        <v>1586</v>
      </c>
      <c r="C758" s="5" t="s">
        <v>187</v>
      </c>
      <c r="D758" s="5" t="s">
        <v>202</v>
      </c>
      <c r="E758" s="2"/>
    </row>
    <row r="759" customFormat="false" ht="15.75" hidden="false" customHeight="false" outlineLevel="0" collapsed="false">
      <c r="A759" s="5" t="s">
        <v>1587</v>
      </c>
      <c r="B759" s="5" t="s">
        <v>1588</v>
      </c>
      <c r="C759" s="5" t="s">
        <v>187</v>
      </c>
      <c r="D759" s="5" t="s">
        <v>196</v>
      </c>
      <c r="E759" s="2"/>
    </row>
    <row r="760" customFormat="false" ht="15.75" hidden="false" customHeight="false" outlineLevel="0" collapsed="false">
      <c r="A760" s="5" t="s">
        <v>1589</v>
      </c>
      <c r="B760" s="5" t="s">
        <v>1590</v>
      </c>
      <c r="C760" s="5" t="s">
        <v>180</v>
      </c>
      <c r="D760" s="5" t="s">
        <v>15</v>
      </c>
      <c r="E760" s="2"/>
    </row>
    <row r="761" customFormat="false" ht="15.75" hidden="false" customHeight="false" outlineLevel="0" collapsed="false">
      <c r="A761" s="5" t="s">
        <v>1591</v>
      </c>
      <c r="B761" s="5" t="s">
        <v>1592</v>
      </c>
      <c r="C761" s="5" t="s">
        <v>187</v>
      </c>
      <c r="D761" s="5" t="s">
        <v>208</v>
      </c>
      <c r="E761" s="2"/>
    </row>
    <row r="762" customFormat="false" ht="15.75" hidden="false" customHeight="false" outlineLevel="0" collapsed="false">
      <c r="A762" s="5" t="s">
        <v>1593</v>
      </c>
      <c r="B762" s="5" t="s">
        <v>1594</v>
      </c>
      <c r="C762" s="5" t="s">
        <v>187</v>
      </c>
      <c r="D762" s="5" t="s">
        <v>199</v>
      </c>
      <c r="E762" s="2"/>
    </row>
    <row r="763" customFormat="false" ht="15.75" hidden="false" customHeight="false" outlineLevel="0" collapsed="false">
      <c r="A763" s="5" t="s">
        <v>1595</v>
      </c>
      <c r="B763" s="5" t="s">
        <v>1596</v>
      </c>
      <c r="C763" s="5" t="s">
        <v>187</v>
      </c>
      <c r="D763" s="5" t="s">
        <v>257</v>
      </c>
      <c r="E763" s="2"/>
    </row>
    <row r="764" customFormat="false" ht="15.75" hidden="false" customHeight="false" outlineLevel="0" collapsed="false">
      <c r="A764" s="5" t="s">
        <v>1597</v>
      </c>
      <c r="B764" s="5" t="s">
        <v>1598</v>
      </c>
      <c r="C764" s="5" t="s">
        <v>187</v>
      </c>
      <c r="D764" s="5" t="s">
        <v>202</v>
      </c>
      <c r="E764" s="2"/>
    </row>
    <row r="765" customFormat="false" ht="15.75" hidden="false" customHeight="false" outlineLevel="0" collapsed="false">
      <c r="A765" s="5" t="s">
        <v>1599</v>
      </c>
      <c r="B765" s="5" t="s">
        <v>1600</v>
      </c>
      <c r="C765" s="5" t="s">
        <v>187</v>
      </c>
      <c r="D765" s="5" t="s">
        <v>202</v>
      </c>
      <c r="E765" s="2"/>
    </row>
    <row r="766" customFormat="false" ht="15.75" hidden="false" customHeight="false" outlineLevel="0" collapsed="false">
      <c r="A766" s="5" t="s">
        <v>1601</v>
      </c>
      <c r="B766" s="5" t="s">
        <v>1602</v>
      </c>
      <c r="C766" s="5" t="s">
        <v>187</v>
      </c>
      <c r="D766" s="5" t="s">
        <v>202</v>
      </c>
      <c r="E766" s="2"/>
    </row>
    <row r="767" customFormat="false" ht="15.75" hidden="false" customHeight="false" outlineLevel="0" collapsed="false">
      <c r="A767" s="5" t="s">
        <v>1603</v>
      </c>
      <c r="B767" s="5" t="s">
        <v>1604</v>
      </c>
      <c r="C767" s="5" t="s">
        <v>187</v>
      </c>
      <c r="D767" s="5" t="s">
        <v>196</v>
      </c>
      <c r="E767" s="2"/>
    </row>
    <row r="768" customFormat="false" ht="15.75" hidden="false" customHeight="false" outlineLevel="0" collapsed="false">
      <c r="A768" s="5" t="s">
        <v>1605</v>
      </c>
      <c r="B768" s="5" t="s">
        <v>1606</v>
      </c>
      <c r="C768" s="5" t="s">
        <v>187</v>
      </c>
      <c r="D768" s="5" t="s">
        <v>188</v>
      </c>
      <c r="E768" s="2"/>
    </row>
    <row r="769" customFormat="false" ht="15.75" hidden="false" customHeight="false" outlineLevel="0" collapsed="false">
      <c r="A769" s="5" t="s">
        <v>1607</v>
      </c>
      <c r="B769" s="5" t="s">
        <v>1608</v>
      </c>
      <c r="C769" s="5" t="s">
        <v>715</v>
      </c>
      <c r="D769" s="5" t="s">
        <v>184</v>
      </c>
      <c r="E769" s="2"/>
    </row>
    <row r="770" customFormat="false" ht="15.75" hidden="false" customHeight="false" outlineLevel="0" collapsed="false">
      <c r="A770" s="5" t="s">
        <v>1609</v>
      </c>
      <c r="B770" s="5" t="s">
        <v>1610</v>
      </c>
      <c r="C770" s="5" t="s">
        <v>180</v>
      </c>
      <c r="D770" s="5" t="s">
        <v>199</v>
      </c>
      <c r="E770" s="2"/>
    </row>
    <row r="771" customFormat="false" ht="15.75" hidden="false" customHeight="false" outlineLevel="0" collapsed="false">
      <c r="A771" s="5" t="s">
        <v>1611</v>
      </c>
      <c r="B771" s="5" t="s">
        <v>1612</v>
      </c>
      <c r="C771" s="5" t="s">
        <v>180</v>
      </c>
      <c r="D771" s="5" t="s">
        <v>199</v>
      </c>
      <c r="E771" s="2"/>
    </row>
    <row r="772" customFormat="false" ht="15.75" hidden="false" customHeight="false" outlineLevel="0" collapsed="false">
      <c r="A772" s="5" t="s">
        <v>1613</v>
      </c>
      <c r="B772" s="5" t="s">
        <v>1614</v>
      </c>
      <c r="C772" s="5" t="s">
        <v>187</v>
      </c>
      <c r="D772" s="5" t="s">
        <v>196</v>
      </c>
      <c r="E772" s="2"/>
    </row>
    <row r="773" customFormat="false" ht="15.75" hidden="false" customHeight="false" outlineLevel="0" collapsed="false">
      <c r="A773" s="5" t="s">
        <v>1615</v>
      </c>
      <c r="B773" s="5" t="s">
        <v>1616</v>
      </c>
      <c r="C773" s="5" t="s">
        <v>187</v>
      </c>
      <c r="D773" s="5" t="s">
        <v>196</v>
      </c>
      <c r="E773" s="2"/>
    </row>
    <row r="774" customFormat="false" ht="15.75" hidden="false" customHeight="false" outlineLevel="0" collapsed="false">
      <c r="A774" s="5" t="s">
        <v>1617</v>
      </c>
      <c r="B774" s="5" t="s">
        <v>1618</v>
      </c>
      <c r="C774" s="5" t="s">
        <v>187</v>
      </c>
      <c r="D774" s="5" t="s">
        <v>208</v>
      </c>
      <c r="E774" s="2"/>
    </row>
    <row r="775" customFormat="false" ht="15.75" hidden="false" customHeight="false" outlineLevel="0" collapsed="false">
      <c r="A775" s="5" t="s">
        <v>1619</v>
      </c>
      <c r="B775" s="5" t="s">
        <v>1620</v>
      </c>
      <c r="C775" s="5" t="s">
        <v>35</v>
      </c>
      <c r="D775" s="5" t="s">
        <v>15</v>
      </c>
      <c r="E775" s="2"/>
    </row>
    <row r="776" customFormat="false" ht="15.75" hidden="false" customHeight="false" outlineLevel="0" collapsed="false">
      <c r="A776" s="5" t="s">
        <v>1621</v>
      </c>
      <c r="B776" s="5" t="s">
        <v>1622</v>
      </c>
      <c r="C776" s="5" t="s">
        <v>187</v>
      </c>
      <c r="D776" s="5" t="s">
        <v>208</v>
      </c>
      <c r="E776" s="2"/>
    </row>
    <row r="777" customFormat="false" ht="15.75" hidden="false" customHeight="false" outlineLevel="0" collapsed="false">
      <c r="A777" s="5" t="s">
        <v>1623</v>
      </c>
      <c r="B777" s="5" t="s">
        <v>1624</v>
      </c>
      <c r="C777" s="5" t="s">
        <v>187</v>
      </c>
      <c r="D777" s="5" t="s">
        <v>202</v>
      </c>
      <c r="E777" s="2"/>
    </row>
    <row r="778" customFormat="false" ht="15.75" hidden="false" customHeight="false" outlineLevel="0" collapsed="false">
      <c r="A778" s="5" t="s">
        <v>1625</v>
      </c>
      <c r="B778" s="5" t="s">
        <v>1626</v>
      </c>
      <c r="C778" s="5" t="s">
        <v>236</v>
      </c>
      <c r="D778" s="5" t="s">
        <v>184</v>
      </c>
      <c r="E778" s="2"/>
    </row>
    <row r="779" customFormat="false" ht="15.75" hidden="false" customHeight="false" outlineLevel="0" collapsed="false">
      <c r="A779" s="5" t="s">
        <v>1627</v>
      </c>
      <c r="B779" s="5" t="s">
        <v>1628</v>
      </c>
      <c r="C779" s="5" t="s">
        <v>266</v>
      </c>
      <c r="D779" s="5" t="s">
        <v>196</v>
      </c>
      <c r="E779" s="2"/>
    </row>
    <row r="780" customFormat="false" ht="15.75" hidden="false" customHeight="false" outlineLevel="0" collapsed="false">
      <c r="A780" s="5" t="s">
        <v>1629</v>
      </c>
      <c r="B780" s="5" t="s">
        <v>1630</v>
      </c>
      <c r="C780" s="5" t="s">
        <v>187</v>
      </c>
      <c r="D780" s="5" t="s">
        <v>257</v>
      </c>
      <c r="E780" s="2"/>
    </row>
    <row r="781" customFormat="false" ht="15.75" hidden="false" customHeight="false" outlineLevel="0" collapsed="false">
      <c r="A781" s="5" t="s">
        <v>1631</v>
      </c>
      <c r="B781" s="5" t="s">
        <v>1632</v>
      </c>
      <c r="C781" s="5" t="s">
        <v>187</v>
      </c>
      <c r="D781" s="5" t="s">
        <v>202</v>
      </c>
      <c r="E781" s="2"/>
    </row>
    <row r="782" customFormat="false" ht="15.75" hidden="false" customHeight="false" outlineLevel="0" collapsed="false">
      <c r="A782" s="5" t="s">
        <v>1633</v>
      </c>
      <c r="B782" s="5" t="s">
        <v>1634</v>
      </c>
      <c r="C782" s="5" t="s">
        <v>187</v>
      </c>
      <c r="D782" s="5" t="s">
        <v>257</v>
      </c>
      <c r="E782" s="2"/>
    </row>
    <row r="783" customFormat="false" ht="15.75" hidden="false" customHeight="false" outlineLevel="0" collapsed="false">
      <c r="A783" s="5" t="s">
        <v>1635</v>
      </c>
      <c r="B783" s="5" t="s">
        <v>1636</v>
      </c>
      <c r="C783" s="5" t="s">
        <v>266</v>
      </c>
      <c r="D783" s="5" t="s">
        <v>196</v>
      </c>
      <c r="E783" s="2"/>
    </row>
    <row r="784" customFormat="false" ht="15.75" hidden="false" customHeight="false" outlineLevel="0" collapsed="false">
      <c r="A784" s="5" t="s">
        <v>1637</v>
      </c>
      <c r="B784" s="5" t="s">
        <v>1638</v>
      </c>
      <c r="C784" s="5" t="s">
        <v>187</v>
      </c>
      <c r="D784" s="5" t="s">
        <v>202</v>
      </c>
      <c r="E784" s="2"/>
    </row>
    <row r="785" customFormat="false" ht="15.75" hidden="false" customHeight="false" outlineLevel="0" collapsed="false">
      <c r="A785" s="5" t="s">
        <v>1639</v>
      </c>
      <c r="B785" s="5" t="s">
        <v>1640</v>
      </c>
      <c r="C785" s="5" t="s">
        <v>266</v>
      </c>
      <c r="D785" s="5" t="s">
        <v>196</v>
      </c>
      <c r="E785" s="2"/>
    </row>
    <row r="786" customFormat="false" ht="15.75" hidden="false" customHeight="false" outlineLevel="0" collapsed="false">
      <c r="A786" s="5" t="s">
        <v>1641</v>
      </c>
      <c r="B786" s="5" t="s">
        <v>1642</v>
      </c>
      <c r="C786" s="5" t="s">
        <v>266</v>
      </c>
      <c r="D786" s="5" t="s">
        <v>196</v>
      </c>
      <c r="E786" s="2"/>
    </row>
    <row r="787" customFormat="false" ht="15.75" hidden="false" customHeight="false" outlineLevel="0" collapsed="false">
      <c r="A787" s="5" t="s">
        <v>1643</v>
      </c>
      <c r="B787" s="5" t="s">
        <v>1644</v>
      </c>
      <c r="C787" s="5" t="s">
        <v>236</v>
      </c>
      <c r="D787" s="5" t="s">
        <v>184</v>
      </c>
      <c r="E787" s="2"/>
    </row>
    <row r="788" customFormat="false" ht="15.75" hidden="false" customHeight="false" outlineLevel="0" collapsed="false">
      <c r="A788" s="5" t="s">
        <v>1645</v>
      </c>
      <c r="B788" s="5" t="s">
        <v>1646</v>
      </c>
      <c r="C788" s="5" t="s">
        <v>479</v>
      </c>
      <c r="D788" s="5" t="s">
        <v>15</v>
      </c>
      <c r="E788" s="2"/>
    </row>
    <row r="789" customFormat="false" ht="15.75" hidden="false" customHeight="false" outlineLevel="0" collapsed="false">
      <c r="A789" s="5" t="s">
        <v>1647</v>
      </c>
      <c r="B789" s="5" t="s">
        <v>1648</v>
      </c>
      <c r="C789" s="5" t="s">
        <v>187</v>
      </c>
      <c r="D789" s="5" t="s">
        <v>257</v>
      </c>
      <c r="E789" s="2"/>
    </row>
    <row r="790" customFormat="false" ht="15.75" hidden="false" customHeight="false" outlineLevel="0" collapsed="false">
      <c r="A790" s="5" t="s">
        <v>1649</v>
      </c>
      <c r="B790" s="5" t="s">
        <v>1650</v>
      </c>
      <c r="C790" s="5" t="s">
        <v>187</v>
      </c>
      <c r="D790" s="5" t="s">
        <v>345</v>
      </c>
      <c r="E790" s="2"/>
    </row>
    <row r="791" customFormat="false" ht="15.75" hidden="false" customHeight="false" outlineLevel="0" collapsed="false">
      <c r="A791" s="5" t="s">
        <v>1651</v>
      </c>
      <c r="B791" s="5" t="s">
        <v>1652</v>
      </c>
      <c r="C791" s="5" t="s">
        <v>187</v>
      </c>
      <c r="D791" s="5" t="s">
        <v>202</v>
      </c>
      <c r="E791" s="2"/>
    </row>
    <row r="792" customFormat="false" ht="15.75" hidden="false" customHeight="false" outlineLevel="0" collapsed="false">
      <c r="A792" s="5" t="s">
        <v>1653</v>
      </c>
      <c r="B792" s="5" t="s">
        <v>1654</v>
      </c>
      <c r="C792" s="5" t="s">
        <v>183</v>
      </c>
      <c r="D792" s="5" t="s">
        <v>184</v>
      </c>
      <c r="E792" s="2"/>
    </row>
    <row r="793" customFormat="false" ht="15.75" hidden="false" customHeight="false" outlineLevel="0" collapsed="false">
      <c r="A793" s="5" t="s">
        <v>1655</v>
      </c>
      <c r="B793" s="5" t="s">
        <v>1656</v>
      </c>
      <c r="C793" s="5" t="s">
        <v>187</v>
      </c>
      <c r="D793" s="5" t="s">
        <v>199</v>
      </c>
      <c r="E793" s="2"/>
    </row>
    <row r="794" customFormat="false" ht="15.75" hidden="false" customHeight="false" outlineLevel="0" collapsed="false">
      <c r="A794" s="5" t="s">
        <v>1657</v>
      </c>
      <c r="B794" s="5" t="s">
        <v>1658</v>
      </c>
      <c r="C794" s="5" t="s">
        <v>187</v>
      </c>
      <c r="D794" s="5" t="s">
        <v>208</v>
      </c>
      <c r="E794" s="2"/>
    </row>
    <row r="795" customFormat="false" ht="15.75" hidden="false" customHeight="false" outlineLevel="0" collapsed="false">
      <c r="A795" s="5" t="s">
        <v>1659</v>
      </c>
      <c r="B795" s="5" t="s">
        <v>1660</v>
      </c>
      <c r="C795" s="5" t="s">
        <v>187</v>
      </c>
      <c r="D795" s="5" t="s">
        <v>208</v>
      </c>
      <c r="E795" s="2"/>
    </row>
    <row r="796" customFormat="false" ht="15.75" hidden="false" customHeight="false" outlineLevel="0" collapsed="false">
      <c r="A796" s="5" t="s">
        <v>1661</v>
      </c>
      <c r="B796" s="5" t="s">
        <v>1662</v>
      </c>
      <c r="C796" s="5" t="s">
        <v>187</v>
      </c>
      <c r="D796" s="5" t="s">
        <v>202</v>
      </c>
      <c r="E796" s="2"/>
    </row>
    <row r="797" customFormat="false" ht="15.75" hidden="false" customHeight="false" outlineLevel="0" collapsed="false">
      <c r="A797" s="5" t="s">
        <v>1663</v>
      </c>
      <c r="B797" s="5" t="s">
        <v>1664</v>
      </c>
      <c r="C797" s="5" t="s">
        <v>187</v>
      </c>
      <c r="D797" s="5" t="s">
        <v>188</v>
      </c>
      <c r="E797" s="2"/>
    </row>
    <row r="798" customFormat="false" ht="15.75" hidden="false" customHeight="false" outlineLevel="0" collapsed="false">
      <c r="A798" s="5" t="s">
        <v>1665</v>
      </c>
      <c r="B798" s="5" t="s">
        <v>1666</v>
      </c>
      <c r="C798" s="5" t="s">
        <v>187</v>
      </c>
      <c r="D798" s="5" t="s">
        <v>202</v>
      </c>
      <c r="E798" s="2"/>
    </row>
    <row r="799" customFormat="false" ht="15.75" hidden="false" customHeight="false" outlineLevel="0" collapsed="false">
      <c r="A799" s="5" t="s">
        <v>1667</v>
      </c>
      <c r="B799" s="5" t="s">
        <v>1668</v>
      </c>
      <c r="C799" s="5" t="s">
        <v>187</v>
      </c>
      <c r="D799" s="5" t="s">
        <v>188</v>
      </c>
      <c r="E799" s="2"/>
    </row>
    <row r="800" customFormat="false" ht="15.75" hidden="false" customHeight="false" outlineLevel="0" collapsed="false">
      <c r="A800" s="5" t="s">
        <v>1669</v>
      </c>
      <c r="B800" s="5" t="s">
        <v>1670</v>
      </c>
      <c r="C800" s="5" t="s">
        <v>187</v>
      </c>
      <c r="D800" s="5" t="s">
        <v>188</v>
      </c>
      <c r="E800" s="2"/>
    </row>
    <row r="801" customFormat="false" ht="15.75" hidden="false" customHeight="false" outlineLevel="0" collapsed="false">
      <c r="A801" s="5" t="s">
        <v>1671</v>
      </c>
      <c r="B801" s="5" t="s">
        <v>1672</v>
      </c>
      <c r="C801" s="5" t="s">
        <v>287</v>
      </c>
      <c r="D801" s="5" t="s">
        <v>208</v>
      </c>
      <c r="E801" s="2"/>
    </row>
    <row r="802" customFormat="false" ht="15.75" hidden="false" customHeight="false" outlineLevel="0" collapsed="false">
      <c r="A802" s="5" t="s">
        <v>1673</v>
      </c>
      <c r="B802" s="5" t="s">
        <v>1674</v>
      </c>
      <c r="C802" s="5" t="s">
        <v>180</v>
      </c>
      <c r="D802" s="5" t="s">
        <v>196</v>
      </c>
      <c r="E802" s="2"/>
    </row>
    <row r="803" customFormat="false" ht="15.75" hidden="false" customHeight="false" outlineLevel="0" collapsed="false">
      <c r="A803" s="5" t="s">
        <v>1675</v>
      </c>
      <c r="B803" s="5" t="s">
        <v>1676</v>
      </c>
      <c r="C803" s="5" t="s">
        <v>187</v>
      </c>
      <c r="D803" s="5" t="s">
        <v>188</v>
      </c>
      <c r="E803" s="2"/>
    </row>
    <row r="804" customFormat="false" ht="15.75" hidden="false" customHeight="false" outlineLevel="0" collapsed="false">
      <c r="A804" s="5" t="s">
        <v>1677</v>
      </c>
      <c r="B804" s="5" t="s">
        <v>1678</v>
      </c>
      <c r="C804" s="5" t="s">
        <v>215</v>
      </c>
      <c r="D804" s="5" t="s">
        <v>184</v>
      </c>
      <c r="E804" s="2"/>
    </row>
    <row r="805" customFormat="false" ht="15.75" hidden="false" customHeight="false" outlineLevel="0" collapsed="false">
      <c r="A805" s="5" t="s">
        <v>1679</v>
      </c>
      <c r="B805" s="5" t="s">
        <v>1680</v>
      </c>
      <c r="C805" s="5" t="s">
        <v>1045</v>
      </c>
      <c r="D805" s="5" t="s">
        <v>196</v>
      </c>
      <c r="E805" s="2"/>
    </row>
    <row r="806" customFormat="false" ht="15.75" hidden="false" customHeight="false" outlineLevel="0" collapsed="false">
      <c r="A806" s="5" t="s">
        <v>1681</v>
      </c>
      <c r="B806" s="5" t="s">
        <v>1682</v>
      </c>
      <c r="C806" s="5" t="s">
        <v>187</v>
      </c>
      <c r="D806" s="5" t="s">
        <v>202</v>
      </c>
      <c r="E806" s="2"/>
    </row>
    <row r="807" customFormat="false" ht="15.75" hidden="false" customHeight="false" outlineLevel="0" collapsed="false">
      <c r="A807" s="5" t="s">
        <v>1683</v>
      </c>
      <c r="B807" s="5" t="s">
        <v>1684</v>
      </c>
      <c r="C807" s="5" t="s">
        <v>187</v>
      </c>
      <c r="D807" s="5" t="s">
        <v>202</v>
      </c>
      <c r="E807" s="2"/>
    </row>
    <row r="808" customFormat="false" ht="15.75" hidden="false" customHeight="false" outlineLevel="0" collapsed="false">
      <c r="A808" s="5" t="s">
        <v>1685</v>
      </c>
      <c r="B808" s="5" t="s">
        <v>1686</v>
      </c>
      <c r="C808" s="5" t="s">
        <v>187</v>
      </c>
      <c r="D808" s="5" t="s">
        <v>202</v>
      </c>
      <c r="E808" s="2"/>
    </row>
    <row r="809" customFormat="false" ht="15.75" hidden="false" customHeight="false" outlineLevel="0" collapsed="false">
      <c r="A809" s="5" t="s">
        <v>1687</v>
      </c>
      <c r="B809" s="5" t="s">
        <v>1688</v>
      </c>
      <c r="C809" s="5" t="s">
        <v>187</v>
      </c>
      <c r="D809" s="5" t="s">
        <v>208</v>
      </c>
      <c r="E809" s="2"/>
    </row>
    <row r="810" customFormat="false" ht="15.75" hidden="false" customHeight="false" outlineLevel="0" collapsed="false">
      <c r="A810" s="5" t="s">
        <v>1689</v>
      </c>
      <c r="B810" s="5" t="s">
        <v>1690</v>
      </c>
      <c r="C810" s="5" t="s">
        <v>187</v>
      </c>
      <c r="D810" s="5" t="s">
        <v>196</v>
      </c>
      <c r="E810" s="2"/>
    </row>
    <row r="811" customFormat="false" ht="15.75" hidden="false" customHeight="false" outlineLevel="0" collapsed="false">
      <c r="A811" s="5" t="s">
        <v>1691</v>
      </c>
      <c r="B811" s="5" t="s">
        <v>1692</v>
      </c>
      <c r="C811" s="5" t="s">
        <v>215</v>
      </c>
      <c r="D811" s="5" t="s">
        <v>184</v>
      </c>
      <c r="E811" s="2"/>
    </row>
    <row r="812" customFormat="false" ht="15.75" hidden="false" customHeight="false" outlineLevel="0" collapsed="false">
      <c r="A812" s="5" t="s">
        <v>1693</v>
      </c>
      <c r="B812" s="5" t="s">
        <v>1694</v>
      </c>
      <c r="C812" s="5" t="s">
        <v>180</v>
      </c>
      <c r="D812" s="5" t="s">
        <v>15</v>
      </c>
      <c r="E812" s="2"/>
    </row>
    <row r="813" customFormat="false" ht="15.75" hidden="false" customHeight="false" outlineLevel="0" collapsed="false">
      <c r="A813" s="5" t="s">
        <v>1695</v>
      </c>
      <c r="B813" s="5" t="s">
        <v>1696</v>
      </c>
      <c r="C813" s="5" t="s">
        <v>187</v>
      </c>
      <c r="D813" s="5" t="s">
        <v>208</v>
      </c>
      <c r="E813" s="2"/>
    </row>
    <row r="814" customFormat="false" ht="15.75" hidden="false" customHeight="false" outlineLevel="0" collapsed="false">
      <c r="A814" s="5" t="s">
        <v>1697</v>
      </c>
      <c r="B814" s="5" t="s">
        <v>1698</v>
      </c>
      <c r="C814" s="5" t="s">
        <v>287</v>
      </c>
      <c r="D814" s="5" t="s">
        <v>208</v>
      </c>
      <c r="E814" s="2"/>
    </row>
    <row r="815" customFormat="false" ht="15.75" hidden="false" customHeight="false" outlineLevel="0" collapsed="false">
      <c r="A815" s="5" t="s">
        <v>159</v>
      </c>
      <c r="B815" s="5" t="s">
        <v>160</v>
      </c>
      <c r="C815" s="5" t="s">
        <v>21</v>
      </c>
      <c r="D815" s="5" t="s">
        <v>15</v>
      </c>
      <c r="E815" s="2"/>
    </row>
    <row r="816" customFormat="false" ht="15.75" hidden="false" customHeight="false" outlineLevel="0" collapsed="false">
      <c r="A816" s="5" t="s">
        <v>1699</v>
      </c>
      <c r="B816" s="5" t="s">
        <v>1700</v>
      </c>
      <c r="C816" s="5" t="s">
        <v>187</v>
      </c>
      <c r="D816" s="5" t="s">
        <v>202</v>
      </c>
      <c r="E816" s="2"/>
    </row>
    <row r="817" customFormat="false" ht="15.75" hidden="false" customHeight="false" outlineLevel="0" collapsed="false">
      <c r="A817" s="5" t="s">
        <v>1701</v>
      </c>
      <c r="B817" s="5" t="s">
        <v>1702</v>
      </c>
      <c r="C817" s="5" t="s">
        <v>287</v>
      </c>
      <c r="D817" s="5" t="s">
        <v>208</v>
      </c>
      <c r="E817" s="2"/>
    </row>
    <row r="818" customFormat="false" ht="15.75" hidden="false" customHeight="false" outlineLevel="0" collapsed="false">
      <c r="A818" s="5" t="s">
        <v>1703</v>
      </c>
      <c r="B818" s="5" t="s">
        <v>1704</v>
      </c>
      <c r="C818" s="5" t="s">
        <v>180</v>
      </c>
      <c r="D818" s="5" t="s">
        <v>15</v>
      </c>
      <c r="E818" s="2"/>
    </row>
    <row r="819" customFormat="false" ht="15.75" hidden="false" customHeight="false" outlineLevel="0" collapsed="false">
      <c r="A819" s="5" t="s">
        <v>1705</v>
      </c>
      <c r="B819" s="5" t="s">
        <v>1706</v>
      </c>
      <c r="C819" s="5" t="s">
        <v>187</v>
      </c>
      <c r="D819" s="5" t="s">
        <v>345</v>
      </c>
      <c r="E819" s="2"/>
    </row>
    <row r="820" customFormat="false" ht="15.75" hidden="false" customHeight="false" outlineLevel="0" collapsed="false">
      <c r="A820" s="5" t="s">
        <v>1707</v>
      </c>
      <c r="B820" s="5" t="s">
        <v>1708</v>
      </c>
      <c r="C820" s="6" t="n">
        <v>0</v>
      </c>
      <c r="D820" s="5" t="s">
        <v>15</v>
      </c>
      <c r="E820" s="2"/>
    </row>
    <row r="821" customFormat="false" ht="15.75" hidden="false" customHeight="false" outlineLevel="0" collapsed="false">
      <c r="A821" s="5" t="s">
        <v>1709</v>
      </c>
      <c r="B821" s="5" t="s">
        <v>1710</v>
      </c>
      <c r="C821" s="5" t="s">
        <v>187</v>
      </c>
      <c r="D821" s="5" t="s">
        <v>208</v>
      </c>
      <c r="E821" s="2"/>
    </row>
    <row r="822" customFormat="false" ht="15.75" hidden="false" customHeight="false" outlineLevel="0" collapsed="false">
      <c r="A822" s="5" t="s">
        <v>1711</v>
      </c>
      <c r="B822" s="5" t="s">
        <v>1712</v>
      </c>
      <c r="C822" s="5" t="s">
        <v>187</v>
      </c>
      <c r="D822" s="5" t="s">
        <v>202</v>
      </c>
      <c r="E822" s="2"/>
    </row>
    <row r="823" customFormat="false" ht="15.75" hidden="false" customHeight="false" outlineLevel="0" collapsed="false">
      <c r="A823" s="5" t="s">
        <v>1713</v>
      </c>
      <c r="B823" s="5" t="s">
        <v>1714</v>
      </c>
      <c r="C823" s="5" t="s">
        <v>180</v>
      </c>
      <c r="D823" s="5" t="s">
        <v>15</v>
      </c>
      <c r="E823" s="2"/>
    </row>
    <row r="824" customFormat="false" ht="15.75" hidden="false" customHeight="false" outlineLevel="0" collapsed="false">
      <c r="A824" s="5" t="s">
        <v>1715</v>
      </c>
      <c r="B824" s="5" t="s">
        <v>1716</v>
      </c>
      <c r="C824" s="5" t="s">
        <v>187</v>
      </c>
      <c r="D824" s="5" t="s">
        <v>208</v>
      </c>
      <c r="E824" s="2"/>
    </row>
    <row r="825" customFormat="false" ht="15.75" hidden="false" customHeight="false" outlineLevel="0" collapsed="false">
      <c r="A825" s="5" t="s">
        <v>1717</v>
      </c>
      <c r="B825" s="5" t="s">
        <v>1718</v>
      </c>
      <c r="C825" s="5" t="s">
        <v>191</v>
      </c>
      <c r="D825" s="5" t="s">
        <v>208</v>
      </c>
      <c r="E825" s="2"/>
    </row>
    <row r="826" customFormat="false" ht="15.75" hidden="false" customHeight="false" outlineLevel="0" collapsed="false">
      <c r="A826" s="5" t="s">
        <v>1719</v>
      </c>
      <c r="B826" s="5" t="s">
        <v>1720</v>
      </c>
      <c r="C826" s="5" t="s">
        <v>187</v>
      </c>
      <c r="D826" s="5" t="s">
        <v>208</v>
      </c>
      <c r="E826" s="2"/>
    </row>
    <row r="827" customFormat="false" ht="15.75" hidden="false" customHeight="false" outlineLevel="0" collapsed="false">
      <c r="A827" s="5" t="s">
        <v>1721</v>
      </c>
      <c r="B827" s="5" t="s">
        <v>1722</v>
      </c>
      <c r="C827" s="5" t="s">
        <v>187</v>
      </c>
      <c r="D827" s="5" t="s">
        <v>345</v>
      </c>
      <c r="E827" s="2"/>
    </row>
    <row r="828" customFormat="false" ht="15.75" hidden="false" customHeight="false" outlineLevel="0" collapsed="false">
      <c r="A828" s="5" t="s">
        <v>1723</v>
      </c>
      <c r="B828" s="5" t="s">
        <v>1724</v>
      </c>
      <c r="C828" s="5" t="s">
        <v>187</v>
      </c>
      <c r="D828" s="5" t="s">
        <v>202</v>
      </c>
      <c r="E828" s="2"/>
    </row>
    <row r="829" customFormat="false" ht="15.75" hidden="false" customHeight="false" outlineLevel="0" collapsed="false">
      <c r="A829" s="5" t="s">
        <v>1725</v>
      </c>
      <c r="B829" s="5" t="s">
        <v>1726</v>
      </c>
      <c r="C829" s="5" t="s">
        <v>187</v>
      </c>
      <c r="D829" s="5" t="s">
        <v>202</v>
      </c>
      <c r="E829" s="2"/>
    </row>
    <row r="830" customFormat="false" ht="15.75" hidden="false" customHeight="false" outlineLevel="0" collapsed="false">
      <c r="A830" s="5" t="s">
        <v>161</v>
      </c>
      <c r="B830" s="5" t="s">
        <v>162</v>
      </c>
      <c r="C830" s="5" t="s">
        <v>35</v>
      </c>
      <c r="D830" s="5" t="s">
        <v>15</v>
      </c>
      <c r="E830" s="2"/>
    </row>
    <row r="831" customFormat="false" ht="15.75" hidden="false" customHeight="false" outlineLevel="0" collapsed="false">
      <c r="A831" s="5" t="s">
        <v>1727</v>
      </c>
      <c r="B831" s="5" t="s">
        <v>1728</v>
      </c>
      <c r="C831" s="5" t="s">
        <v>180</v>
      </c>
      <c r="D831" s="5" t="s">
        <v>15</v>
      </c>
      <c r="E831" s="2"/>
    </row>
    <row r="832" customFormat="false" ht="15.75" hidden="false" customHeight="false" outlineLevel="0" collapsed="false">
      <c r="A832" s="5" t="s">
        <v>1729</v>
      </c>
      <c r="B832" s="5" t="s">
        <v>1730</v>
      </c>
      <c r="C832" s="5" t="s">
        <v>187</v>
      </c>
      <c r="D832" s="5" t="s">
        <v>208</v>
      </c>
      <c r="E832" s="2"/>
    </row>
    <row r="833" customFormat="false" ht="15.75" hidden="false" customHeight="false" outlineLevel="0" collapsed="false">
      <c r="A833" s="5" t="s">
        <v>163</v>
      </c>
      <c r="B833" s="5" t="s">
        <v>164</v>
      </c>
      <c r="C833" s="5" t="s">
        <v>165</v>
      </c>
      <c r="D833" s="5" t="s">
        <v>15</v>
      </c>
      <c r="E833" s="2"/>
    </row>
    <row r="834" customFormat="false" ht="15.75" hidden="false" customHeight="false" outlineLevel="0" collapsed="false">
      <c r="A834" s="5" t="s">
        <v>166</v>
      </c>
      <c r="B834" s="5" t="s">
        <v>167</v>
      </c>
      <c r="C834" s="5" t="s">
        <v>142</v>
      </c>
      <c r="D834" s="5" t="s">
        <v>15</v>
      </c>
      <c r="E834" s="2"/>
    </row>
    <row r="835" customFormat="false" ht="15.75" hidden="false" customHeight="false" outlineLevel="0" collapsed="false">
      <c r="A835" s="5" t="s">
        <v>1731</v>
      </c>
      <c r="B835" s="5" t="s">
        <v>1732</v>
      </c>
      <c r="C835" s="5" t="s">
        <v>187</v>
      </c>
      <c r="D835" s="5" t="s">
        <v>199</v>
      </c>
      <c r="E835" s="2"/>
    </row>
    <row r="836" customFormat="false" ht="15.75" hidden="false" customHeight="false" outlineLevel="0" collapsed="false">
      <c r="A836" s="5" t="s">
        <v>1733</v>
      </c>
      <c r="B836" s="5" t="s">
        <v>1734</v>
      </c>
      <c r="C836" s="5" t="s">
        <v>180</v>
      </c>
      <c r="D836" s="5" t="s">
        <v>199</v>
      </c>
      <c r="E836" s="2"/>
    </row>
    <row r="837" customFormat="false" ht="15.75" hidden="false" customHeight="false" outlineLevel="0" collapsed="false">
      <c r="A837" s="5" t="s">
        <v>1735</v>
      </c>
      <c r="B837" s="5" t="s">
        <v>1736</v>
      </c>
      <c r="C837" s="5" t="s">
        <v>187</v>
      </c>
      <c r="D837" s="5" t="s">
        <v>202</v>
      </c>
      <c r="E837" s="2"/>
    </row>
    <row r="838" customFormat="false" ht="15.75" hidden="false" customHeight="false" outlineLevel="0" collapsed="false">
      <c r="A838" s="5" t="s">
        <v>1737</v>
      </c>
      <c r="B838" s="5" t="s">
        <v>1738</v>
      </c>
      <c r="C838" s="5" t="s">
        <v>236</v>
      </c>
      <c r="D838" s="5" t="s">
        <v>184</v>
      </c>
      <c r="E838" s="2"/>
    </row>
    <row r="839" customFormat="false" ht="15.75" hidden="false" customHeight="false" outlineLevel="0" collapsed="false">
      <c r="A839" s="5" t="s">
        <v>1739</v>
      </c>
      <c r="B839" s="5" t="s">
        <v>1740</v>
      </c>
      <c r="C839" s="5" t="s">
        <v>715</v>
      </c>
      <c r="D839" s="5" t="s">
        <v>184</v>
      </c>
      <c r="E839" s="2"/>
    </row>
    <row r="840" customFormat="false" ht="15.75" hidden="false" customHeight="false" outlineLevel="0" collapsed="false">
      <c r="A840" s="5" t="s">
        <v>168</v>
      </c>
      <c r="B840" s="5" t="s">
        <v>169</v>
      </c>
      <c r="C840" s="5" t="s">
        <v>101</v>
      </c>
      <c r="D840" s="5" t="s">
        <v>15</v>
      </c>
      <c r="E840" s="2"/>
    </row>
    <row r="841" customFormat="false" ht="15.75" hidden="false" customHeight="false" outlineLevel="0" collapsed="false">
      <c r="A841" s="5" t="s">
        <v>1741</v>
      </c>
      <c r="B841" s="5" t="s">
        <v>1742</v>
      </c>
      <c r="C841" s="5" t="s">
        <v>35</v>
      </c>
      <c r="D841" s="5" t="s">
        <v>15</v>
      </c>
      <c r="E841" s="2"/>
    </row>
    <row r="842" customFormat="false" ht="15.75" hidden="false" customHeight="false" outlineLevel="0" collapsed="false">
      <c r="A842" s="5" t="s">
        <v>170</v>
      </c>
      <c r="B842" s="5" t="s">
        <v>171</v>
      </c>
      <c r="C842" s="5" t="s">
        <v>18</v>
      </c>
      <c r="D842" s="5" t="s">
        <v>15</v>
      </c>
      <c r="E842" s="2"/>
    </row>
    <row r="843" customFormat="false" ht="15.75" hidden="false" customHeight="false" outlineLevel="0" collapsed="false">
      <c r="A843" s="5" t="s">
        <v>1743</v>
      </c>
      <c r="B843" s="5" t="s">
        <v>1744</v>
      </c>
      <c r="C843" s="5" t="s">
        <v>180</v>
      </c>
      <c r="D843" s="5" t="s">
        <v>15</v>
      </c>
      <c r="E843" s="2"/>
    </row>
    <row r="844" customFormat="false" ht="15.75" hidden="false" customHeight="false" outlineLevel="0" collapsed="false">
      <c r="A844" s="5" t="s">
        <v>1745</v>
      </c>
      <c r="B844" s="5" t="s">
        <v>1746</v>
      </c>
      <c r="C844" s="5" t="s">
        <v>187</v>
      </c>
      <c r="D844" s="5" t="s">
        <v>202</v>
      </c>
      <c r="E844" s="2"/>
    </row>
    <row r="845" customFormat="false" ht="15.75" hidden="false" customHeight="false" outlineLevel="0" collapsed="false">
      <c r="A845" s="5" t="s">
        <v>172</v>
      </c>
      <c r="B845" s="5" t="s">
        <v>173</v>
      </c>
      <c r="C845" s="5" t="s">
        <v>35</v>
      </c>
      <c r="D845" s="5" t="s">
        <v>15</v>
      </c>
      <c r="E845" s="2"/>
    </row>
    <row r="846" customFormat="false" ht="15.75" hidden="false" customHeight="false" outlineLevel="0" collapsed="false">
      <c r="A846" s="5" t="s">
        <v>174</v>
      </c>
      <c r="B846" s="5" t="s">
        <v>175</v>
      </c>
      <c r="C846" s="5" t="s">
        <v>35</v>
      </c>
      <c r="D846" s="5" t="s">
        <v>15</v>
      </c>
      <c r="E846" s="2"/>
    </row>
    <row r="847" customFormat="false" ht="15.75" hidden="false" customHeight="false" outlineLevel="0" collapsed="false">
      <c r="A847" s="5" t="s">
        <v>1747</v>
      </c>
      <c r="B847" s="5" t="s">
        <v>1748</v>
      </c>
      <c r="C847" s="5" t="s">
        <v>180</v>
      </c>
      <c r="D847" s="5" t="s">
        <v>199</v>
      </c>
      <c r="E847" s="2"/>
    </row>
    <row r="848" customFormat="false" ht="15.75" hidden="false" customHeight="false" outlineLevel="0" collapsed="false">
      <c r="A848" s="5" t="s">
        <v>1749</v>
      </c>
      <c r="B848" s="5" t="s">
        <v>1750</v>
      </c>
      <c r="C848" s="5" t="s">
        <v>187</v>
      </c>
      <c r="D848" s="5" t="s">
        <v>208</v>
      </c>
      <c r="E848" s="2"/>
    </row>
    <row r="849" customFormat="false" ht="15.75" hidden="false" customHeight="false" outlineLevel="0" collapsed="false">
      <c r="A849" s="5" t="s">
        <v>1751</v>
      </c>
      <c r="B849" s="5" t="s">
        <v>1752</v>
      </c>
      <c r="C849" s="5" t="s">
        <v>187</v>
      </c>
      <c r="D849" s="5" t="s">
        <v>202</v>
      </c>
      <c r="E849" s="2"/>
    </row>
    <row r="850" customFormat="false" ht="15.75" hidden="false" customHeight="false" outlineLevel="0" collapsed="false">
      <c r="A850" s="5" t="s">
        <v>1753</v>
      </c>
      <c r="B850" s="5" t="s">
        <v>1754</v>
      </c>
      <c r="C850" s="5" t="s">
        <v>187</v>
      </c>
      <c r="D850" s="5" t="s">
        <v>202</v>
      </c>
      <c r="E850" s="2"/>
    </row>
    <row r="851" customFormat="false" ht="15.75" hidden="false" customHeight="false" outlineLevel="0" collapsed="false">
      <c r="A851" s="5" t="s">
        <v>1755</v>
      </c>
      <c r="B851" s="5" t="s">
        <v>1756</v>
      </c>
      <c r="C851" s="5" t="s">
        <v>187</v>
      </c>
      <c r="D851" s="5" t="s">
        <v>202</v>
      </c>
      <c r="E851" s="2"/>
    </row>
    <row r="852" customFormat="false" ht="15.75" hidden="false" customHeight="false" outlineLevel="0" collapsed="false">
      <c r="A852" s="5" t="s">
        <v>1757</v>
      </c>
      <c r="B852" s="5" t="s">
        <v>1758</v>
      </c>
      <c r="C852" s="5" t="s">
        <v>187</v>
      </c>
      <c r="D852" s="5" t="s">
        <v>202</v>
      </c>
      <c r="E852" s="2"/>
    </row>
    <row r="853" customFormat="false" ht="15.75" hidden="false" customHeight="false" outlineLevel="0" collapsed="false">
      <c r="A853" s="5" t="s">
        <v>1759</v>
      </c>
      <c r="B853" s="5" t="s">
        <v>1760</v>
      </c>
      <c r="C853" s="5" t="s">
        <v>187</v>
      </c>
      <c r="D853" s="5" t="s">
        <v>202</v>
      </c>
      <c r="E853" s="2"/>
    </row>
    <row r="854" customFormat="false" ht="15.75" hidden="false" customHeight="false" outlineLevel="0" collapsed="false">
      <c r="A854" s="5" t="s">
        <v>1761</v>
      </c>
      <c r="B854" s="5" t="s">
        <v>1762</v>
      </c>
      <c r="C854" s="5" t="s">
        <v>187</v>
      </c>
      <c r="D854" s="5" t="s">
        <v>202</v>
      </c>
      <c r="E854" s="2"/>
    </row>
    <row r="855" customFormat="false" ht="15.75" hidden="false" customHeight="false" outlineLevel="0" collapsed="false">
      <c r="A855" s="5" t="s">
        <v>1763</v>
      </c>
      <c r="B855" s="5" t="s">
        <v>1764</v>
      </c>
      <c r="C855" s="5" t="s">
        <v>187</v>
      </c>
      <c r="D855" s="5" t="s">
        <v>196</v>
      </c>
      <c r="E855" s="2"/>
    </row>
    <row r="856" customFormat="false" ht="15.75" hidden="false" customHeight="false" outlineLevel="0" collapsed="false">
      <c r="A856" s="5" t="s">
        <v>1765</v>
      </c>
      <c r="B856" s="5" t="s">
        <v>1766</v>
      </c>
      <c r="C856" s="5" t="s">
        <v>207</v>
      </c>
      <c r="D856" s="5" t="s">
        <v>15</v>
      </c>
      <c r="E856" s="2"/>
    </row>
    <row r="857" customFormat="false" ht="15.75" hidden="false" customHeight="false" outlineLevel="0" collapsed="false">
      <c r="A857" s="5" t="s">
        <v>1767</v>
      </c>
      <c r="B857" s="5" t="s">
        <v>1768</v>
      </c>
      <c r="C857" s="5" t="s">
        <v>187</v>
      </c>
      <c r="D857" s="5" t="s">
        <v>202</v>
      </c>
      <c r="E857" s="2"/>
    </row>
    <row r="858" customFormat="false" ht="15.75" hidden="false" customHeight="false" outlineLevel="0" collapsed="false">
      <c r="A858" s="5" t="s">
        <v>1769</v>
      </c>
      <c r="B858" s="5" t="s">
        <v>1770</v>
      </c>
      <c r="C858" s="5" t="s">
        <v>187</v>
      </c>
      <c r="D858" s="5" t="s">
        <v>202</v>
      </c>
      <c r="E858" s="2"/>
    </row>
    <row r="859" customFormat="false" ht="15.75" hidden="false" customHeight="false" outlineLevel="0" collapsed="false">
      <c r="A859" s="5" t="s">
        <v>1771</v>
      </c>
      <c r="B859" s="5" t="s">
        <v>1772</v>
      </c>
      <c r="C859" s="5" t="s">
        <v>180</v>
      </c>
      <c r="D859" s="5" t="s">
        <v>15</v>
      </c>
      <c r="E859" s="2"/>
    </row>
    <row r="860" customFormat="false" ht="15.75" hidden="false" customHeight="false" outlineLevel="0" collapsed="false">
      <c r="A860" s="5" t="s">
        <v>1773</v>
      </c>
      <c r="B860" s="5" t="s">
        <v>1774</v>
      </c>
      <c r="C860" s="5" t="s">
        <v>187</v>
      </c>
      <c r="D860" s="5" t="s">
        <v>199</v>
      </c>
      <c r="E860" s="2"/>
    </row>
    <row r="861" customFormat="false" ht="15.75" hidden="false" customHeight="false" outlineLevel="0" collapsed="false">
      <c r="A861" s="5" t="s">
        <v>1775</v>
      </c>
      <c r="B861" s="5" t="s">
        <v>1776</v>
      </c>
      <c r="C861" s="5" t="s">
        <v>187</v>
      </c>
      <c r="D861" s="5" t="s">
        <v>257</v>
      </c>
      <c r="E861" s="2"/>
    </row>
    <row r="1048576" customFormat="false" ht="15.75" hidden="false" customHeight="true" outlineLevel="0" collapsed="false"/>
  </sheetData>
  <dataValidations count="1">
    <dataValidation allowBlank="true" operator="between" showDropDown="false" showErrorMessage="false" showInputMessage="false" sqref="E2:E861" type="list">
      <formula1>'Salary Structure'!$B$2:$B$889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9.43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 t="s">
        <v>7</v>
      </c>
      <c r="J1" s="4" t="s">
        <v>9</v>
      </c>
      <c r="K1" s="4" t="s">
        <v>10</v>
      </c>
      <c r="L1" s="4" t="s">
        <v>11</v>
      </c>
    </row>
    <row r="2" customFormat="false" ht="15.75" hidden="false" customHeight="false" outlineLevel="0" collapsed="false">
      <c r="A2" s="7" t="s">
        <v>260</v>
      </c>
      <c r="B2" s="7" t="s">
        <v>261</v>
      </c>
      <c r="C2" s="7" t="s">
        <v>187</v>
      </c>
      <c r="D2" s="7" t="s">
        <v>208</v>
      </c>
      <c r="E2" s="8"/>
      <c r="F2" s="8" t="e">
        <f aca="false">IF(OR(ISBLANK($K2),$K2=0,ISNA($K2)),"","YES")</f>
        <v>#VALUE!</v>
      </c>
      <c r="G2" s="8" t="e">
        <f aca="false">VLOOKUP($B2,'All Employee Structures'!$A$2:$M1000,9,0)</f>
        <v>#N/A</v>
      </c>
      <c r="H2" s="8"/>
      <c r="I2" s="8" t="e">
        <f aca="false">VLOOKUP($B2,'All Employee Structures'!$A$2:$M1000,10,0)</f>
        <v>#N/A</v>
      </c>
      <c r="J2" s="8" t="e">
        <f aca="false">VLOOKUP($B2,'All Employee Structures'!$A$2:$M1000,11,0)</f>
        <v>#N/A</v>
      </c>
      <c r="K2" s="8" t="e">
        <f aca="false">VLOOKUP($B2,'All Employee Structures'!$A$2:$M1000,12,0)</f>
        <v>#N/A</v>
      </c>
      <c r="L2" s="8" t="e">
        <f aca="false">VLOOKUP($B2,'All Employee Structures'!$A$2:$M1000,13,0)</f>
        <v>#N/A</v>
      </c>
    </row>
    <row r="3" customFormat="false" ht="15.75" hidden="false" customHeight="false" outlineLevel="0" collapsed="false">
      <c r="A3" s="7" t="s">
        <v>273</v>
      </c>
      <c r="B3" s="7" t="s">
        <v>274</v>
      </c>
      <c r="C3" s="7" t="s">
        <v>191</v>
      </c>
      <c r="D3" s="7" t="s">
        <v>208</v>
      </c>
      <c r="E3" s="8"/>
      <c r="F3" s="8" t="e">
        <f aca="false">IF(OR(ISBLANK($K3),$K3=0,ISNA($K3)),"","YES")</f>
        <v>#VALUE!</v>
      </c>
      <c r="G3" s="8" t="e">
        <f aca="false">VLOOKUP($B3,'All Employee Structures'!$A$2:$M1000,9,0)</f>
        <v>#N/A</v>
      </c>
      <c r="H3" s="8"/>
      <c r="I3" s="8" t="e">
        <f aca="false">VLOOKUP($B3,'All Employee Structures'!$A$2:$M1000,10,0)</f>
        <v>#N/A</v>
      </c>
      <c r="J3" s="8" t="e">
        <f aca="false">VLOOKUP($B3,'All Employee Structures'!$A$2:$M1000,11,0)</f>
        <v>#N/A</v>
      </c>
      <c r="K3" s="8" t="e">
        <f aca="false">VLOOKUP($B3,'All Employee Structures'!$A$2:$M1000,12,0)</f>
        <v>#N/A</v>
      </c>
      <c r="L3" s="8" t="e">
        <f aca="false">VLOOKUP($B3,'All Employee Structures'!$A$2:$M1000,13,0)</f>
        <v>#N/A</v>
      </c>
    </row>
    <row r="4" customFormat="false" ht="15.75" hidden="false" customHeight="false" outlineLevel="0" collapsed="false">
      <c r="A4" s="5" t="s">
        <v>275</v>
      </c>
      <c r="B4" s="5" t="s">
        <v>276</v>
      </c>
      <c r="C4" s="5" t="s">
        <v>187</v>
      </c>
      <c r="D4" s="5" t="s">
        <v>208</v>
      </c>
      <c r="E4" s="2"/>
      <c r="F4" s="2" t="str">
        <f aca="false">IF(OR(ISBLANK($K4),$K4=0,ISNA($K4)),"","YES")</f>
        <v/>
      </c>
      <c r="G4" s="9" t="n">
        <f aca="false">VLOOKUP($B4,'All Employee Structures'!$A$2:$M1000,9,0)</f>
        <v>480000</v>
      </c>
      <c r="H4" s="3" t="n">
        <f aca="false">I4*2</f>
        <v>214</v>
      </c>
      <c r="I4" s="9" t="n">
        <f aca="false">VLOOKUP($B4,'All Employee Structures'!$A$2:$M1000,10,0)</f>
        <v>107</v>
      </c>
      <c r="J4" s="9" t="n">
        <f aca="false">VLOOKUP($B4,'All Employee Structures'!$A$2:$M1000,11,0)</f>
        <v>0</v>
      </c>
      <c r="K4" s="9" t="n">
        <f aca="false">VLOOKUP($B4,'All Employee Structures'!$A$2:$M1000,12,0)</f>
        <v>0</v>
      </c>
      <c r="L4" s="9" t="n">
        <f aca="false">VLOOKUP($B4,'All Employee Structures'!$A$2:$M1000,13,0)</f>
        <v>0</v>
      </c>
    </row>
    <row r="5" customFormat="false" ht="15.75" hidden="false" customHeight="false" outlineLevel="0" collapsed="false">
      <c r="A5" s="5" t="s">
        <v>285</v>
      </c>
      <c r="B5" s="5" t="s">
        <v>286</v>
      </c>
      <c r="C5" s="5" t="s">
        <v>287</v>
      </c>
      <c r="D5" s="5" t="s">
        <v>208</v>
      </c>
      <c r="E5" s="2"/>
      <c r="F5" s="2" t="str">
        <f aca="false">IF(OR(ISBLANK($K5),$K5=0,ISNA($K5)),"","YES")</f>
        <v/>
      </c>
      <c r="G5" s="9" t="n">
        <f aca="false">VLOOKUP($B5,'All Employee Structures'!$A$2:$M1000,9,0)</f>
        <v>240000</v>
      </c>
      <c r="H5" s="3" t="n">
        <f aca="false">I5*2</f>
        <v>518</v>
      </c>
      <c r="I5" s="9" t="n">
        <f aca="false">VLOOKUP($B5,'All Employee Structures'!$A$2:$M1000,10,0)</f>
        <v>259</v>
      </c>
      <c r="J5" s="9" t="n">
        <f aca="false">VLOOKUP($B5,'All Employee Structures'!$A$2:$M1000,11,0)</f>
        <v>0</v>
      </c>
      <c r="K5" s="9" t="n">
        <f aca="false">VLOOKUP($B5,'All Employee Structures'!$A$2:$M1000,12,0)</f>
        <v>0</v>
      </c>
      <c r="L5" s="9" t="n">
        <f aca="false">VLOOKUP($B5,'All Employee Structures'!$A$2:$M1000,13,0)</f>
        <v>0</v>
      </c>
    </row>
    <row r="6" customFormat="false" ht="15.75" hidden="false" customHeight="false" outlineLevel="0" collapsed="false">
      <c r="A6" s="5" t="s">
        <v>294</v>
      </c>
      <c r="B6" s="5" t="s">
        <v>295</v>
      </c>
      <c r="C6" s="5" t="s">
        <v>187</v>
      </c>
      <c r="D6" s="5" t="s">
        <v>208</v>
      </c>
      <c r="E6" s="2"/>
      <c r="F6" s="2" t="str">
        <f aca="false">IF(OR(ISBLANK($K6),$K6=0,ISNA($K6)),"","YES")</f>
        <v/>
      </c>
      <c r="G6" s="9" t="n">
        <f aca="false">VLOOKUP($B6,'All Employee Structures'!$A$2:$M1000,9,0)</f>
        <v>192000</v>
      </c>
      <c r="H6" s="3" t="n">
        <f aca="false">I6*2</f>
        <v>200</v>
      </c>
      <c r="I6" s="9" t="n">
        <f aca="false">VLOOKUP($B6,'All Employee Structures'!$A$2:$M1000,10,0)</f>
        <v>100</v>
      </c>
      <c r="J6" s="9" t="n">
        <f aca="false">VLOOKUP($B6,'All Employee Structures'!$A$2:$M1000,11,0)</f>
        <v>0</v>
      </c>
      <c r="K6" s="9" t="n">
        <f aca="false">VLOOKUP($B6,'All Employee Structures'!$A$2:$M1000,12,0)</f>
        <v>0</v>
      </c>
      <c r="L6" s="9" t="n">
        <f aca="false">VLOOKUP($B6,'All Employee Structures'!$A$2:$M1000,13,0)</f>
        <v>0</v>
      </c>
    </row>
    <row r="7" customFormat="false" ht="15.75" hidden="false" customHeight="false" outlineLevel="0" collapsed="false">
      <c r="A7" s="5" t="s">
        <v>360</v>
      </c>
      <c r="B7" s="5" t="s">
        <v>361</v>
      </c>
      <c r="C7" s="5" t="s">
        <v>287</v>
      </c>
      <c r="D7" s="5" t="s">
        <v>208</v>
      </c>
      <c r="E7" s="2"/>
      <c r="F7" s="2" t="str">
        <f aca="false">IF(OR(ISBLANK($K7),$K7=0,ISNA($K7)),"","YES")</f>
        <v/>
      </c>
      <c r="G7" s="9" t="n">
        <f aca="false">VLOOKUP($B7,'All Employee Structures'!$A$2:$M1000,9,0)</f>
        <v>240000</v>
      </c>
      <c r="H7" s="3" t="n">
        <f aca="false">I7*2</f>
        <v>480</v>
      </c>
      <c r="I7" s="9" t="n">
        <f aca="false">VLOOKUP($B7,'All Employee Structures'!$A$2:$M1000,10,0)</f>
        <v>240</v>
      </c>
      <c r="J7" s="9" t="n">
        <f aca="false">VLOOKUP($B7,'All Employee Structures'!$A$2:$M1000,11,0)</f>
        <v>0</v>
      </c>
      <c r="K7" s="9" t="n">
        <f aca="false">VLOOKUP($B7,'All Employee Structures'!$A$2:$M1000,12,0)</f>
        <v>0</v>
      </c>
      <c r="L7" s="9" t="n">
        <f aca="false">VLOOKUP($B7,'All Employee Structures'!$A$2:$M1000,13,0)</f>
        <v>0</v>
      </c>
    </row>
    <row r="8" customFormat="false" ht="15.75" hidden="false" customHeight="false" outlineLevel="0" collapsed="false">
      <c r="A8" s="5" t="s">
        <v>364</v>
      </c>
      <c r="B8" s="5" t="s">
        <v>365</v>
      </c>
      <c r="C8" s="5" t="s">
        <v>187</v>
      </c>
      <c r="D8" s="5" t="s">
        <v>208</v>
      </c>
      <c r="E8" s="2"/>
      <c r="F8" s="2" t="str">
        <f aca="false">IF(OR(ISBLANK($K8),$K8=0,ISNA($K8)),"","YES")</f>
        <v/>
      </c>
      <c r="G8" s="9" t="n">
        <f aca="false">VLOOKUP($B8,'All Employee Structures'!$A$2:$M1000,9,0)</f>
        <v>360000</v>
      </c>
      <c r="H8" s="3" t="n">
        <f aca="false">I8*2</f>
        <v>206</v>
      </c>
      <c r="I8" s="9" t="n">
        <f aca="false">VLOOKUP($B8,'All Employee Structures'!$A$2:$M1000,10,0)</f>
        <v>103</v>
      </c>
      <c r="J8" s="9" t="n">
        <f aca="false">VLOOKUP($B8,'All Employee Structures'!$A$2:$M1000,11,0)</f>
        <v>0</v>
      </c>
      <c r="K8" s="9" t="n">
        <f aca="false">VLOOKUP($B8,'All Employee Structures'!$A$2:$M1000,12,0)</f>
        <v>0</v>
      </c>
      <c r="L8" s="9" t="n">
        <f aca="false">VLOOKUP($B8,'All Employee Structures'!$A$2:$M1000,13,0)</f>
        <v>0</v>
      </c>
    </row>
    <row r="9" customFormat="false" ht="15.75" hidden="false" customHeight="false" outlineLevel="0" collapsed="false">
      <c r="A9" s="5" t="s">
        <v>368</v>
      </c>
      <c r="B9" s="5" t="s">
        <v>369</v>
      </c>
      <c r="C9" s="5" t="s">
        <v>187</v>
      </c>
      <c r="D9" s="5" t="s">
        <v>208</v>
      </c>
      <c r="E9" s="2"/>
      <c r="F9" s="2" t="str">
        <f aca="false">IF(OR(ISBLANK($K9),$K9=0,ISNA($K9)),"","YES")</f>
        <v/>
      </c>
      <c r="G9" s="9" t="n">
        <f aca="false">VLOOKUP($B9,'All Employee Structures'!$A$2:$M1000,9,0)</f>
        <v>264000</v>
      </c>
      <c r="H9" s="3" t="n">
        <f aca="false">I9*2</f>
        <v>200</v>
      </c>
      <c r="I9" s="9" t="n">
        <f aca="false">VLOOKUP($B9,'All Employee Structures'!$A$2:$M1000,10,0)</f>
        <v>100</v>
      </c>
      <c r="J9" s="9" t="n">
        <f aca="false">VLOOKUP($B9,'All Employee Structures'!$A$2:$M1000,11,0)</f>
        <v>0</v>
      </c>
      <c r="K9" s="9" t="n">
        <f aca="false">VLOOKUP($B9,'All Employee Structures'!$A$2:$M1000,12,0)</f>
        <v>0</v>
      </c>
      <c r="L9" s="9" t="n">
        <f aca="false">VLOOKUP($B9,'All Employee Structures'!$A$2:$M1000,13,0)</f>
        <v>0</v>
      </c>
    </row>
    <row r="10" customFormat="false" ht="15.75" hidden="false" customHeight="false" outlineLevel="0" collapsed="false">
      <c r="A10" s="5" t="s">
        <v>370</v>
      </c>
      <c r="B10" s="5" t="s">
        <v>371</v>
      </c>
      <c r="C10" s="5" t="s">
        <v>187</v>
      </c>
      <c r="D10" s="5" t="s">
        <v>208</v>
      </c>
      <c r="E10" s="2"/>
      <c r="F10" s="2" t="str">
        <f aca="false">IF(OR(ISBLANK($K10),$K10=0,ISNA($K10)),"","YES")</f>
        <v/>
      </c>
      <c r="G10" s="9" t="n">
        <f aca="false">VLOOKUP($B10,'All Employee Structures'!$A$2:$M1000,9,0)</f>
        <v>324000</v>
      </c>
      <c r="H10" s="3" t="n">
        <f aca="false">I10*2</f>
        <v>0</v>
      </c>
      <c r="I10" s="9" t="n">
        <f aca="false">VLOOKUP($B10,'All Employee Structures'!$A$2:$M1000,10,0)</f>
        <v>0</v>
      </c>
      <c r="J10" s="9" t="n">
        <f aca="false">VLOOKUP($B10,'All Employee Structures'!$A$2:$M1000,11,0)</f>
        <v>0</v>
      </c>
      <c r="K10" s="9" t="n">
        <f aca="false">VLOOKUP($B10,'All Employee Structures'!$A$2:$M1000,12,0)</f>
        <v>0</v>
      </c>
      <c r="L10" s="9" t="n">
        <f aca="false">VLOOKUP($B10,'All Employee Structures'!$A$2:$M1000,13,0)</f>
        <v>0</v>
      </c>
    </row>
    <row r="11" customFormat="false" ht="15.75" hidden="false" customHeight="false" outlineLevel="0" collapsed="false">
      <c r="A11" s="5" t="s">
        <v>403</v>
      </c>
      <c r="B11" s="5" t="s">
        <v>404</v>
      </c>
      <c r="C11" s="5" t="s">
        <v>187</v>
      </c>
      <c r="D11" s="5" t="s">
        <v>208</v>
      </c>
      <c r="E11" s="2"/>
      <c r="F11" s="2" t="str">
        <f aca="false">IF(OR(ISBLANK($K11),$K11=0,ISNA($K11)),"","YES")</f>
        <v/>
      </c>
      <c r="G11" s="9" t="n">
        <f aca="false">VLOOKUP($B11,'All Employee Structures'!$A$2:$M1000,9,0)</f>
        <v>384000</v>
      </c>
      <c r="H11" s="3" t="n">
        <f aca="false">I11*2</f>
        <v>200</v>
      </c>
      <c r="I11" s="9" t="n">
        <f aca="false">VLOOKUP($B11,'All Employee Structures'!$A$2:$M1000,10,0)</f>
        <v>100</v>
      </c>
      <c r="J11" s="9" t="n">
        <f aca="false">VLOOKUP($B11,'All Employee Structures'!$A$2:$M1000,11,0)</f>
        <v>0</v>
      </c>
      <c r="K11" s="9" t="n">
        <f aca="false">VLOOKUP($B11,'All Employee Structures'!$A$2:$M1000,12,0)</f>
        <v>0</v>
      </c>
      <c r="L11" s="9" t="n">
        <f aca="false">VLOOKUP($B11,'All Employee Structures'!$A$2:$M1000,13,0)</f>
        <v>0</v>
      </c>
    </row>
    <row r="12" customFormat="false" ht="15.75" hidden="false" customHeight="false" outlineLevel="0" collapsed="false">
      <c r="A12" s="7" t="s">
        <v>473</v>
      </c>
      <c r="B12" s="7" t="s">
        <v>474</v>
      </c>
      <c r="C12" s="7" t="s">
        <v>187</v>
      </c>
      <c r="D12" s="7" t="s">
        <v>208</v>
      </c>
      <c r="E12" s="8"/>
      <c r="F12" s="8" t="e">
        <f aca="false">IF(OR(ISBLANK($K12),$K12=0,ISNA($K12)),"","YES")</f>
        <v>#VALUE!</v>
      </c>
      <c r="G12" s="8" t="e">
        <f aca="false">VLOOKUP($B12,'All Employee Structures'!$A$2:$M1000,9,0)</f>
        <v>#N/A</v>
      </c>
      <c r="H12" s="3" t="e">
        <f aca="false">I12*2</f>
        <v>#N/A</v>
      </c>
      <c r="I12" s="8" t="e">
        <f aca="false">VLOOKUP($B12,'All Employee Structures'!$A$2:$M1000,10,0)</f>
        <v>#N/A</v>
      </c>
      <c r="J12" s="8" t="e">
        <f aca="false">VLOOKUP($B12,'All Employee Structures'!$A$2:$M1000,11,0)</f>
        <v>#N/A</v>
      </c>
      <c r="K12" s="8" t="e">
        <f aca="false">VLOOKUP($B12,'All Employee Structures'!$A$2:$M1000,12,0)</f>
        <v>#N/A</v>
      </c>
      <c r="L12" s="8" t="e">
        <f aca="false">VLOOKUP($B12,'All Employee Structures'!$A$2:$M1000,13,0)</f>
        <v>#N/A</v>
      </c>
    </row>
    <row r="13" customFormat="false" ht="15.75" hidden="false" customHeight="false" outlineLevel="0" collapsed="false">
      <c r="A13" s="5" t="s">
        <v>513</v>
      </c>
      <c r="B13" s="5" t="s">
        <v>514</v>
      </c>
      <c r="C13" s="5" t="s">
        <v>287</v>
      </c>
      <c r="D13" s="5" t="s">
        <v>208</v>
      </c>
      <c r="E13" s="2"/>
      <c r="F13" s="2" t="str">
        <f aca="false">IF(OR(ISBLANK($K13),$K13=0,ISNA($K13)),"","YES")</f>
        <v/>
      </c>
      <c r="G13" s="9" t="n">
        <f aca="false">VLOOKUP($B13,'All Employee Structures'!$A$2:$M1000,9,0)</f>
        <v>240000</v>
      </c>
      <c r="H13" s="3" t="n">
        <f aca="false">I13*2</f>
        <v>880</v>
      </c>
      <c r="I13" s="9" t="n">
        <f aca="false">VLOOKUP($B13,'All Employee Structures'!$A$2:$M1000,10,0)</f>
        <v>440</v>
      </c>
      <c r="J13" s="9" t="n">
        <f aca="false">VLOOKUP($B13,'All Employee Structures'!$A$2:$M1000,11,0)</f>
        <v>0</v>
      </c>
      <c r="K13" s="9" t="n">
        <f aca="false">VLOOKUP($B13,'All Employee Structures'!$A$2:$M1000,12,0)</f>
        <v>0</v>
      </c>
      <c r="L13" s="9" t="n">
        <f aca="false">VLOOKUP($B13,'All Employee Structures'!$A$2:$M1000,13,0)</f>
        <v>0</v>
      </c>
    </row>
    <row r="14" customFormat="false" ht="15.75" hidden="false" customHeight="false" outlineLevel="0" collapsed="false">
      <c r="A14" s="5" t="s">
        <v>523</v>
      </c>
      <c r="B14" s="5" t="s">
        <v>524</v>
      </c>
      <c r="C14" s="5" t="s">
        <v>187</v>
      </c>
      <c r="D14" s="5" t="s">
        <v>208</v>
      </c>
      <c r="E14" s="2"/>
      <c r="F14" s="2" t="str">
        <f aca="false">IF(OR(ISBLANK($K14),$K14=0,ISNA($K14)),"","YES")</f>
        <v/>
      </c>
      <c r="G14" s="9" t="n">
        <f aca="false">VLOOKUP($B14,'All Employee Structures'!$A$2:$M1000,9,0)</f>
        <v>420000</v>
      </c>
      <c r="H14" s="3" t="n">
        <f aca="false">I14*2</f>
        <v>588</v>
      </c>
      <c r="I14" s="9" t="n">
        <f aca="false">VLOOKUP($B14,'All Employee Structures'!$A$2:$M1000,10,0)</f>
        <v>294</v>
      </c>
      <c r="J14" s="9" t="n">
        <f aca="false">VLOOKUP($B14,'All Employee Structures'!$A$2:$M1000,11,0)</f>
        <v>0</v>
      </c>
      <c r="K14" s="9" t="n">
        <f aca="false">VLOOKUP($B14,'All Employee Structures'!$A$2:$M1000,12,0)</f>
        <v>0</v>
      </c>
      <c r="L14" s="9" t="n">
        <f aca="false">VLOOKUP($B14,'All Employee Structures'!$A$2:$M1000,13,0)</f>
        <v>0</v>
      </c>
    </row>
    <row r="15" customFormat="false" ht="15.75" hidden="false" customHeight="false" outlineLevel="0" collapsed="false">
      <c r="A15" s="5" t="s">
        <v>547</v>
      </c>
      <c r="B15" s="5" t="s">
        <v>548</v>
      </c>
      <c r="C15" s="5" t="s">
        <v>187</v>
      </c>
      <c r="D15" s="5" t="s">
        <v>208</v>
      </c>
      <c r="E15" s="2"/>
      <c r="F15" s="2" t="str">
        <f aca="false">IF(OR(ISBLANK($K15),$K15=0,ISNA($K15)),"","YES")</f>
        <v/>
      </c>
      <c r="G15" s="9" t="n">
        <f aca="false">VLOOKUP($B15,'All Employee Structures'!$A$2:$M1000,9,0)</f>
        <v>420000</v>
      </c>
      <c r="H15" s="3" t="n">
        <f aca="false">I15*2</f>
        <v>728</v>
      </c>
      <c r="I15" s="9" t="n">
        <f aca="false">VLOOKUP($B15,'All Employee Structures'!$A$2:$M1000,10,0)</f>
        <v>364</v>
      </c>
      <c r="J15" s="9" t="n">
        <f aca="false">VLOOKUP($B15,'All Employee Structures'!$A$2:$M1000,11,0)</f>
        <v>0</v>
      </c>
      <c r="K15" s="9" t="n">
        <f aca="false">VLOOKUP($B15,'All Employee Structures'!$A$2:$M1000,12,0)</f>
        <v>0</v>
      </c>
      <c r="L15" s="9" t="n">
        <f aca="false">VLOOKUP($B15,'All Employee Structures'!$A$2:$M1000,13,0)</f>
        <v>0</v>
      </c>
    </row>
    <row r="16" customFormat="false" ht="15.75" hidden="false" customHeight="false" outlineLevel="0" collapsed="false">
      <c r="A16" s="5" t="s">
        <v>559</v>
      </c>
      <c r="B16" s="5" t="s">
        <v>560</v>
      </c>
      <c r="C16" s="5" t="s">
        <v>287</v>
      </c>
      <c r="D16" s="5" t="s">
        <v>208</v>
      </c>
      <c r="E16" s="2"/>
      <c r="F16" s="2" t="str">
        <f aca="false">IF(OR(ISBLANK($K16),$K16=0,ISNA($K16)),"","YES")</f>
        <v/>
      </c>
      <c r="G16" s="9" t="n">
        <f aca="false">VLOOKUP($B16,'All Employee Structures'!$A$2:$M1000,9,0)</f>
        <v>240000</v>
      </c>
      <c r="H16" s="3" t="n">
        <f aca="false">I16*2</f>
        <v>376</v>
      </c>
      <c r="I16" s="9" t="n">
        <f aca="false">VLOOKUP($B16,'All Employee Structures'!$A$2:$M1000,10,0)</f>
        <v>188</v>
      </c>
      <c r="J16" s="9" t="n">
        <f aca="false">VLOOKUP($B16,'All Employee Structures'!$A$2:$M1000,11,0)</f>
        <v>0</v>
      </c>
      <c r="K16" s="9" t="n">
        <f aca="false">VLOOKUP($B16,'All Employee Structures'!$A$2:$M1000,12,0)</f>
        <v>0</v>
      </c>
      <c r="L16" s="9" t="n">
        <f aca="false">VLOOKUP($B16,'All Employee Structures'!$A$2:$M1000,13,0)</f>
        <v>0</v>
      </c>
    </row>
    <row r="17" customFormat="false" ht="15.75" hidden="false" customHeight="false" outlineLevel="0" collapsed="false">
      <c r="A17" s="5" t="s">
        <v>585</v>
      </c>
      <c r="B17" s="5" t="s">
        <v>586</v>
      </c>
      <c r="C17" s="5" t="s">
        <v>287</v>
      </c>
      <c r="D17" s="5" t="s">
        <v>208</v>
      </c>
      <c r="E17" s="2"/>
      <c r="F17" s="2" t="str">
        <f aca="false">IF(OR(ISBLANK($K17),$K17=0,ISNA($K17)),"","YES")</f>
        <v/>
      </c>
      <c r="G17" s="9" t="n">
        <f aca="false">VLOOKUP($B17,'All Employee Structures'!$A$2:$M1000,9,0)</f>
        <v>240000</v>
      </c>
      <c r="H17" s="3" t="n">
        <f aca="false">I17*2</f>
        <v>188</v>
      </c>
      <c r="I17" s="9" t="n">
        <f aca="false">VLOOKUP($B17,'All Employee Structures'!$A$2:$M1000,10,0)</f>
        <v>94</v>
      </c>
      <c r="J17" s="9" t="n">
        <f aca="false">VLOOKUP($B17,'All Employee Structures'!$A$2:$M1000,11,0)</f>
        <v>0</v>
      </c>
      <c r="K17" s="9" t="n">
        <f aca="false">VLOOKUP($B17,'All Employee Structures'!$A$2:$M1000,12,0)</f>
        <v>0</v>
      </c>
      <c r="L17" s="9" t="n">
        <f aca="false">VLOOKUP($B17,'All Employee Structures'!$A$2:$M1000,13,0)</f>
        <v>0</v>
      </c>
    </row>
    <row r="18" customFormat="false" ht="15.75" hidden="false" customHeight="false" outlineLevel="0" collapsed="false">
      <c r="A18" s="5" t="s">
        <v>623</v>
      </c>
      <c r="B18" s="5" t="s">
        <v>624</v>
      </c>
      <c r="C18" s="5" t="s">
        <v>287</v>
      </c>
      <c r="D18" s="5" t="s">
        <v>208</v>
      </c>
      <c r="E18" s="2"/>
      <c r="F18" s="2" t="str">
        <f aca="false">IF(OR(ISBLANK($K18),$K18=0,ISNA($K18)),"","YES")</f>
        <v/>
      </c>
      <c r="G18" s="9" t="n">
        <f aca="false">VLOOKUP($B18,'All Employee Structures'!$A$2:$M1000,9,0)</f>
        <v>420000</v>
      </c>
      <c r="H18" s="3" t="n">
        <f aca="false">I18*2</f>
        <v>206</v>
      </c>
      <c r="I18" s="9" t="n">
        <f aca="false">VLOOKUP($B18,'All Employee Structures'!$A$2:$M1000,10,0)</f>
        <v>103</v>
      </c>
      <c r="J18" s="9" t="n">
        <f aca="false">VLOOKUP($B18,'All Employee Structures'!$A$2:$M1000,11,0)</f>
        <v>0</v>
      </c>
      <c r="K18" s="9" t="n">
        <f aca="false">VLOOKUP($B18,'All Employee Structures'!$A$2:$M1000,12,0)</f>
        <v>0</v>
      </c>
      <c r="L18" s="9" t="n">
        <f aca="false">VLOOKUP($B18,'All Employee Structures'!$A$2:$M1000,13,0)</f>
        <v>0</v>
      </c>
    </row>
    <row r="19" customFormat="false" ht="15.75" hidden="false" customHeight="false" outlineLevel="0" collapsed="false">
      <c r="A19" s="5" t="s">
        <v>640</v>
      </c>
      <c r="B19" s="5" t="s">
        <v>641</v>
      </c>
      <c r="C19" s="5" t="s">
        <v>215</v>
      </c>
      <c r="D19" s="5" t="s">
        <v>208</v>
      </c>
      <c r="E19" s="2"/>
      <c r="F19" s="2" t="str">
        <f aca="false">IF(OR(ISBLANK($K19),$K19=0,ISNA($K19)),"","YES")</f>
        <v/>
      </c>
      <c r="G19" s="9" t="n">
        <f aca="false">VLOOKUP($B19,'All Employee Structures'!$A$2:$M1000,9,0)</f>
        <v>240000</v>
      </c>
      <c r="H19" s="3" t="n">
        <f aca="false">I19*2</f>
        <v>156</v>
      </c>
      <c r="I19" s="9" t="n">
        <f aca="false">VLOOKUP($B19,'All Employee Structures'!$A$2:$M1000,10,0)</f>
        <v>78</v>
      </c>
      <c r="J19" s="9" t="n">
        <f aca="false">VLOOKUP($B19,'All Employee Structures'!$A$2:$M1000,11,0)</f>
        <v>0</v>
      </c>
      <c r="K19" s="9" t="n">
        <f aca="false">VLOOKUP($B19,'All Employee Structures'!$A$2:$M1000,12,0)</f>
        <v>0</v>
      </c>
      <c r="L19" s="9" t="n">
        <f aca="false">VLOOKUP($B19,'All Employee Structures'!$A$2:$M1000,13,0)</f>
        <v>0</v>
      </c>
    </row>
    <row r="20" customFormat="false" ht="15.75" hidden="false" customHeight="false" outlineLevel="0" collapsed="false">
      <c r="A20" s="5" t="s">
        <v>642</v>
      </c>
      <c r="B20" s="5" t="s">
        <v>643</v>
      </c>
      <c r="C20" s="5" t="s">
        <v>187</v>
      </c>
      <c r="D20" s="5" t="s">
        <v>208</v>
      </c>
      <c r="E20" s="2"/>
      <c r="F20" s="2" t="str">
        <f aca="false">IF(OR(ISBLANK($K20),$K20=0,ISNA($K20)),"","YES")</f>
        <v/>
      </c>
      <c r="G20" s="9" t="n">
        <f aca="false">VLOOKUP($B20,'All Employee Structures'!$A$2:$M1000,9,0)</f>
        <v>240000</v>
      </c>
      <c r="H20" s="3" t="n">
        <f aca="false">I20*2</f>
        <v>260</v>
      </c>
      <c r="I20" s="9" t="n">
        <f aca="false">VLOOKUP($B20,'All Employee Structures'!$A$2:$M1000,10,0)</f>
        <v>130</v>
      </c>
      <c r="J20" s="9" t="n">
        <f aca="false">VLOOKUP($B20,'All Employee Structures'!$A$2:$M1000,11,0)</f>
        <v>0</v>
      </c>
      <c r="K20" s="9" t="n">
        <f aca="false">VLOOKUP($B20,'All Employee Structures'!$A$2:$M1000,12,0)</f>
        <v>0</v>
      </c>
      <c r="L20" s="9" t="n">
        <f aca="false">VLOOKUP($B20,'All Employee Structures'!$A$2:$M1000,13,0)</f>
        <v>0</v>
      </c>
    </row>
    <row r="21" customFormat="false" ht="15.75" hidden="false" customHeight="false" outlineLevel="0" collapsed="false">
      <c r="A21" s="5" t="s">
        <v>711</v>
      </c>
      <c r="B21" s="5" t="s">
        <v>712</v>
      </c>
      <c r="C21" s="5" t="s">
        <v>114</v>
      </c>
      <c r="D21" s="5" t="s">
        <v>208</v>
      </c>
      <c r="E21" s="2"/>
      <c r="F21" s="2" t="str">
        <f aca="false">IF(OR(ISBLANK($K21),$K21=0,ISNA($K21)),"","YES")</f>
        <v/>
      </c>
      <c r="G21" s="9" t="n">
        <f aca="false">VLOOKUP($B21,'All Employee Structures'!$A$2:$M1000,9,0)</f>
        <v>346500</v>
      </c>
      <c r="H21" s="3" t="n">
        <f aca="false">I21*2</f>
        <v>1542</v>
      </c>
      <c r="I21" s="9" t="n">
        <f aca="false">VLOOKUP($B21,'All Employee Structures'!$A$2:$M1000,10,0)</f>
        <v>771</v>
      </c>
      <c r="J21" s="9" t="n">
        <f aca="false">VLOOKUP($B21,'All Employee Structures'!$A$2:$M1000,11,0)</f>
        <v>0</v>
      </c>
      <c r="K21" s="9" t="n">
        <f aca="false">VLOOKUP($B21,'All Employee Structures'!$A$2:$M1000,12,0)</f>
        <v>0</v>
      </c>
      <c r="L21" s="9" t="n">
        <f aca="false">VLOOKUP($B21,'All Employee Structures'!$A$2:$M1000,13,0)</f>
        <v>0</v>
      </c>
    </row>
    <row r="22" customFormat="false" ht="15.75" hidden="false" customHeight="false" outlineLevel="0" collapsed="false">
      <c r="A22" s="5" t="s">
        <v>720</v>
      </c>
      <c r="B22" s="5" t="s">
        <v>721</v>
      </c>
      <c r="C22" s="5" t="s">
        <v>191</v>
      </c>
      <c r="D22" s="5" t="s">
        <v>208</v>
      </c>
      <c r="E22" s="2"/>
      <c r="F22" s="2" t="str">
        <f aca="false">IF(OR(ISBLANK($K22),$K22=0,ISNA($K22)),"","YES")</f>
        <v/>
      </c>
      <c r="G22" s="9" t="n">
        <f aca="false">VLOOKUP($B22,'All Employee Structures'!$A$2:$M1000,9,0)</f>
        <v>300000</v>
      </c>
      <c r="H22" s="3" t="n">
        <f aca="false">I22*2</f>
        <v>0</v>
      </c>
      <c r="I22" s="9" t="n">
        <f aca="false">VLOOKUP($B22,'All Employee Structures'!$A$2:$M1000,10,0)</f>
        <v>0</v>
      </c>
      <c r="J22" s="9" t="n">
        <f aca="false">VLOOKUP($B22,'All Employee Structures'!$A$2:$M1000,11,0)</f>
        <v>0</v>
      </c>
      <c r="K22" s="9" t="n">
        <f aca="false">VLOOKUP($B22,'All Employee Structures'!$A$2:$M1000,12,0)</f>
        <v>0</v>
      </c>
      <c r="L22" s="9" t="n">
        <f aca="false">VLOOKUP($B22,'All Employee Structures'!$A$2:$M1000,13,0)</f>
        <v>0</v>
      </c>
    </row>
    <row r="23" customFormat="false" ht="15.75" hidden="false" customHeight="false" outlineLevel="0" collapsed="false">
      <c r="A23" s="5" t="s">
        <v>724</v>
      </c>
      <c r="B23" s="5" t="s">
        <v>725</v>
      </c>
      <c r="C23" s="5" t="s">
        <v>187</v>
      </c>
      <c r="D23" s="5" t="s">
        <v>208</v>
      </c>
      <c r="E23" s="2"/>
      <c r="F23" s="2" t="str">
        <f aca="false">IF(OR(ISBLANK($K23),$K23=0,ISNA($K23)),"","YES")</f>
        <v/>
      </c>
      <c r="G23" s="9" t="n">
        <f aca="false">VLOOKUP($B23,'All Employee Structures'!$A$2:$M1000,9,0)</f>
        <v>180000</v>
      </c>
      <c r="H23" s="3" t="n">
        <f aca="false">I23*2</f>
        <v>624</v>
      </c>
      <c r="I23" s="9" t="n">
        <f aca="false">VLOOKUP($B23,'All Employee Structures'!$A$2:$M1000,10,0)</f>
        <v>312</v>
      </c>
      <c r="J23" s="9" t="n">
        <f aca="false">VLOOKUP($B23,'All Employee Structures'!$A$2:$M1000,11,0)</f>
        <v>0</v>
      </c>
      <c r="K23" s="9" t="n">
        <f aca="false">VLOOKUP($B23,'All Employee Structures'!$A$2:$M1000,12,0)</f>
        <v>0</v>
      </c>
      <c r="L23" s="9" t="n">
        <f aca="false">VLOOKUP($B23,'All Employee Structures'!$A$2:$M1000,13,0)</f>
        <v>0</v>
      </c>
    </row>
    <row r="24" customFormat="false" ht="15.75" hidden="false" customHeight="false" outlineLevel="0" collapsed="false">
      <c r="A24" s="5" t="s">
        <v>740</v>
      </c>
      <c r="B24" s="5" t="s">
        <v>741</v>
      </c>
      <c r="C24" s="5" t="s">
        <v>287</v>
      </c>
      <c r="D24" s="5" t="s">
        <v>208</v>
      </c>
      <c r="E24" s="2"/>
      <c r="F24" s="2" t="str">
        <f aca="false">IF(OR(ISBLANK($K24),$K24=0,ISNA($K24)),"","YES")</f>
        <v/>
      </c>
      <c r="G24" s="9" t="n">
        <f aca="false">VLOOKUP($B24,'All Employee Structures'!$A$2:$M1000,9,0)</f>
        <v>240000</v>
      </c>
      <c r="H24" s="3" t="n">
        <f aca="false">I24*2</f>
        <v>550</v>
      </c>
      <c r="I24" s="9" t="n">
        <f aca="false">VLOOKUP($B24,'All Employee Structures'!$A$2:$M1000,10,0)</f>
        <v>275</v>
      </c>
      <c r="J24" s="9" t="n">
        <f aca="false">VLOOKUP($B24,'All Employee Structures'!$A$2:$M1000,11,0)</f>
        <v>0</v>
      </c>
      <c r="K24" s="9" t="n">
        <f aca="false">VLOOKUP($B24,'All Employee Structures'!$A$2:$M1000,12,0)</f>
        <v>0</v>
      </c>
      <c r="L24" s="9" t="n">
        <f aca="false">VLOOKUP($B24,'All Employee Structures'!$A$2:$M1000,13,0)</f>
        <v>0</v>
      </c>
    </row>
    <row r="25" customFormat="false" ht="15.75" hidden="false" customHeight="false" outlineLevel="0" collapsed="false">
      <c r="A25" s="5" t="s">
        <v>760</v>
      </c>
      <c r="B25" s="5" t="s">
        <v>761</v>
      </c>
      <c r="C25" s="5" t="s">
        <v>187</v>
      </c>
      <c r="D25" s="5" t="s">
        <v>208</v>
      </c>
      <c r="E25" s="2"/>
      <c r="F25" s="2" t="str">
        <f aca="false">IF(OR(ISBLANK($K25),$K25=0,ISNA($K25)),"","YES")</f>
        <v/>
      </c>
      <c r="G25" s="9" t="n">
        <f aca="false">VLOOKUP($B25,'All Employee Structures'!$A$2:$M1000,9,0)</f>
        <v>360000</v>
      </c>
      <c r="H25" s="3" t="n">
        <f aca="false">I25*2</f>
        <v>708</v>
      </c>
      <c r="I25" s="9" t="n">
        <f aca="false">VLOOKUP($B25,'All Employee Structures'!$A$2:$M1000,10,0)</f>
        <v>354</v>
      </c>
      <c r="J25" s="9" t="n">
        <f aca="false">VLOOKUP($B25,'All Employee Structures'!$A$2:$M1000,11,0)</f>
        <v>0</v>
      </c>
      <c r="K25" s="9" t="n">
        <f aca="false">VLOOKUP($B25,'All Employee Structures'!$A$2:$M1000,12,0)</f>
        <v>0</v>
      </c>
      <c r="L25" s="9" t="n">
        <f aca="false">VLOOKUP($B25,'All Employee Structures'!$A$2:$M1000,13,0)</f>
        <v>0</v>
      </c>
    </row>
    <row r="26" customFormat="false" ht="15.75" hidden="false" customHeight="false" outlineLevel="0" collapsed="false">
      <c r="A26" s="5" t="s">
        <v>766</v>
      </c>
      <c r="B26" s="5" t="s">
        <v>767</v>
      </c>
      <c r="C26" s="5" t="s">
        <v>215</v>
      </c>
      <c r="D26" s="5" t="s">
        <v>208</v>
      </c>
      <c r="E26" s="2"/>
      <c r="F26" s="2" t="str">
        <f aca="false">IF(OR(ISBLANK($K26),$K26=0,ISNA($K26)),"","YES")</f>
        <v/>
      </c>
      <c r="G26" s="9" t="n">
        <f aca="false">VLOOKUP($B26,'All Employee Structures'!$A$2:$M1000,9,0)</f>
        <v>330000</v>
      </c>
      <c r="H26" s="3" t="n">
        <f aca="false">I26*2</f>
        <v>0</v>
      </c>
      <c r="I26" s="9" t="n">
        <f aca="false">VLOOKUP($B26,'All Employee Structures'!$A$2:$M1000,10,0)</f>
        <v>0</v>
      </c>
      <c r="J26" s="9" t="n">
        <f aca="false">VLOOKUP($B26,'All Employee Structures'!$A$2:$M1000,11,0)</f>
        <v>0</v>
      </c>
      <c r="K26" s="9" t="n">
        <f aca="false">VLOOKUP($B26,'All Employee Structures'!$A$2:$M1000,12,0)</f>
        <v>0</v>
      </c>
      <c r="L26" s="9" t="n">
        <f aca="false">VLOOKUP($B26,'All Employee Structures'!$A$2:$M1000,13,0)</f>
        <v>0</v>
      </c>
    </row>
    <row r="27" customFormat="false" ht="15.75" hidden="false" customHeight="false" outlineLevel="0" collapsed="false">
      <c r="A27" s="5" t="s">
        <v>812</v>
      </c>
      <c r="B27" s="10" t="s">
        <v>1777</v>
      </c>
      <c r="C27" s="5" t="s">
        <v>187</v>
      </c>
      <c r="D27" s="5" t="s">
        <v>208</v>
      </c>
      <c r="E27" s="2"/>
      <c r="F27" s="2" t="str">
        <f aca="false">IF(OR(ISBLANK($K27),$K27=0,ISNA($K27)),"","YES")</f>
        <v/>
      </c>
      <c r="G27" s="9" t="n">
        <f aca="false">VLOOKUP($B27,'All Employee Structures'!$A$2:$M1000,9,0)</f>
        <v>180000</v>
      </c>
      <c r="H27" s="3" t="n">
        <f aca="false">I27*2</f>
        <v>0</v>
      </c>
      <c r="I27" s="9" t="n">
        <f aca="false">VLOOKUP($B27,'All Employee Structures'!$A$2:$M1000,10,0)</f>
        <v>0</v>
      </c>
      <c r="J27" s="9" t="n">
        <f aca="false">VLOOKUP($B27,'All Employee Structures'!$A$2:$M1000,11,0)</f>
        <v>0</v>
      </c>
      <c r="K27" s="9" t="n">
        <f aca="false">VLOOKUP($B27,'All Employee Structures'!$A$2:$M1000,12,0)</f>
        <v>0</v>
      </c>
      <c r="L27" s="9" t="n">
        <f aca="false">VLOOKUP($B27,'All Employee Structures'!$A$2:$M1000,13,0)</f>
        <v>0</v>
      </c>
    </row>
    <row r="28" customFormat="false" ht="15.75" hidden="false" customHeight="false" outlineLevel="0" collapsed="false">
      <c r="A28" s="5" t="s">
        <v>848</v>
      </c>
      <c r="B28" s="5" t="s">
        <v>849</v>
      </c>
      <c r="C28" s="5" t="s">
        <v>287</v>
      </c>
      <c r="D28" s="5" t="s">
        <v>208</v>
      </c>
      <c r="E28" s="2"/>
      <c r="F28" s="2" t="str">
        <f aca="false">IF(OR(ISBLANK($K28),$K28=0,ISNA($K28)),"","YES")</f>
        <v/>
      </c>
      <c r="G28" s="9" t="n">
        <f aca="false">VLOOKUP($B28,'All Employee Structures'!$A$2:$M1000,9,0)</f>
        <v>240000</v>
      </c>
      <c r="H28" s="3" t="n">
        <f aca="false">I28*2</f>
        <v>518</v>
      </c>
      <c r="I28" s="9" t="n">
        <f aca="false">VLOOKUP($B28,'All Employee Structures'!$A$2:$M1000,10,0)</f>
        <v>259</v>
      </c>
      <c r="J28" s="9" t="n">
        <f aca="false">VLOOKUP($B28,'All Employee Structures'!$A$2:$M1000,11,0)</f>
        <v>0</v>
      </c>
      <c r="K28" s="9" t="n">
        <f aca="false">VLOOKUP($B28,'All Employee Structures'!$A$2:$M1000,12,0)</f>
        <v>0</v>
      </c>
      <c r="L28" s="9" t="n">
        <f aca="false">VLOOKUP($B28,'All Employee Structures'!$A$2:$M1000,13,0)</f>
        <v>0</v>
      </c>
    </row>
    <row r="29" customFormat="false" ht="15.75" hidden="false" customHeight="false" outlineLevel="0" collapsed="false">
      <c r="A29" s="5" t="s">
        <v>858</v>
      </c>
      <c r="B29" s="5" t="s">
        <v>859</v>
      </c>
      <c r="C29" s="5" t="s">
        <v>287</v>
      </c>
      <c r="D29" s="5" t="s">
        <v>208</v>
      </c>
      <c r="E29" s="2"/>
      <c r="F29" s="2" t="str">
        <f aca="false">IF(OR(ISBLANK($K29),$K29=0,ISNA($K29)),"","YES")</f>
        <v/>
      </c>
      <c r="G29" s="9" t="n">
        <f aca="false">VLOOKUP($B29,'All Employee Structures'!$A$2:$M1000,9,0)</f>
        <v>240000</v>
      </c>
      <c r="H29" s="3" t="n">
        <f aca="false">I29*2</f>
        <v>1176</v>
      </c>
      <c r="I29" s="9" t="n">
        <f aca="false">VLOOKUP($B29,'All Employee Structures'!$A$2:$M1000,10,0)</f>
        <v>588</v>
      </c>
      <c r="J29" s="9" t="n">
        <f aca="false">VLOOKUP($B29,'All Employee Structures'!$A$2:$M1000,11,0)</f>
        <v>0</v>
      </c>
      <c r="K29" s="9" t="n">
        <f aca="false">VLOOKUP($B29,'All Employee Structures'!$A$2:$M1000,12,0)</f>
        <v>0</v>
      </c>
      <c r="L29" s="9" t="n">
        <f aca="false">VLOOKUP($B29,'All Employee Structures'!$A$2:$M1000,13,0)</f>
        <v>0</v>
      </c>
    </row>
    <row r="30" customFormat="false" ht="15.75" hidden="false" customHeight="false" outlineLevel="0" collapsed="false">
      <c r="A30" s="5" t="s">
        <v>874</v>
      </c>
      <c r="B30" s="5" t="s">
        <v>875</v>
      </c>
      <c r="C30" s="5" t="s">
        <v>287</v>
      </c>
      <c r="D30" s="5" t="s">
        <v>208</v>
      </c>
      <c r="E30" s="2"/>
      <c r="F30" s="2" t="str">
        <f aca="false">IF(OR(ISBLANK($K30),$K30=0,ISNA($K30)),"","YES")</f>
        <v/>
      </c>
      <c r="G30" s="9" t="n">
        <f aca="false">VLOOKUP($B30,'All Employee Structures'!$A$2:$M1000,9,0)</f>
        <v>240000</v>
      </c>
      <c r="H30" s="3" t="n">
        <f aca="false">I30*2</f>
        <v>0</v>
      </c>
      <c r="I30" s="9" t="n">
        <f aca="false">VLOOKUP($B30,'All Employee Structures'!$A$2:$M1000,10,0)</f>
        <v>0</v>
      </c>
      <c r="J30" s="9" t="n">
        <f aca="false">VLOOKUP($B30,'All Employee Structures'!$A$2:$M1000,11,0)</f>
        <v>0</v>
      </c>
      <c r="K30" s="9" t="n">
        <f aca="false">VLOOKUP($B30,'All Employee Structures'!$A$2:$M1000,12,0)</f>
        <v>0</v>
      </c>
      <c r="L30" s="9" t="n">
        <f aca="false">VLOOKUP($B30,'All Employee Structures'!$A$2:$M1000,13,0)</f>
        <v>0</v>
      </c>
    </row>
    <row r="31" customFormat="false" ht="15.75" hidden="false" customHeight="false" outlineLevel="0" collapsed="false">
      <c r="A31" s="5" t="s">
        <v>916</v>
      </c>
      <c r="B31" s="5" t="s">
        <v>917</v>
      </c>
      <c r="C31" s="5" t="s">
        <v>287</v>
      </c>
      <c r="D31" s="5" t="s">
        <v>208</v>
      </c>
      <c r="E31" s="2"/>
      <c r="F31" s="2" t="str">
        <f aca="false">IF(OR(ISBLANK($K31),$K31=0,ISNA($K31)),"","YES")</f>
        <v/>
      </c>
      <c r="G31" s="9" t="n">
        <f aca="false">VLOOKUP($B31,'All Employee Structures'!$A$2:$M1000,9,0)</f>
        <v>240000</v>
      </c>
      <c r="H31" s="3" t="n">
        <f aca="false">I31*2</f>
        <v>274</v>
      </c>
      <c r="I31" s="9" t="n">
        <f aca="false">VLOOKUP($B31,'All Employee Structures'!$A$2:$M1000,10,0)</f>
        <v>137</v>
      </c>
      <c r="J31" s="9" t="n">
        <f aca="false">VLOOKUP($B31,'All Employee Structures'!$A$2:$M1000,11,0)</f>
        <v>0</v>
      </c>
      <c r="K31" s="9" t="n">
        <f aca="false">VLOOKUP($B31,'All Employee Structures'!$A$2:$M1000,12,0)</f>
        <v>0</v>
      </c>
      <c r="L31" s="9" t="n">
        <f aca="false">VLOOKUP($B31,'All Employee Structures'!$A$2:$M1000,13,0)</f>
        <v>0</v>
      </c>
    </row>
    <row r="32" customFormat="false" ht="15.75" hidden="false" customHeight="false" outlineLevel="0" collapsed="false">
      <c r="A32" s="5" t="s">
        <v>950</v>
      </c>
      <c r="B32" s="5" t="s">
        <v>951</v>
      </c>
      <c r="C32" s="5" t="s">
        <v>187</v>
      </c>
      <c r="D32" s="5" t="s">
        <v>208</v>
      </c>
      <c r="E32" s="2"/>
      <c r="F32" s="2" t="str">
        <f aca="false">IF(OR(ISBLANK($K32),$K32=0,ISNA($K32)),"","YES")</f>
        <v/>
      </c>
      <c r="G32" s="9" t="n">
        <f aca="false">VLOOKUP($B32,'All Employee Structures'!$A$2:$M1000,9,0)</f>
        <v>360000</v>
      </c>
      <c r="H32" s="3" t="n">
        <f aca="false">I32*2</f>
        <v>0</v>
      </c>
      <c r="I32" s="9" t="n">
        <f aca="false">VLOOKUP($B32,'All Employee Structures'!$A$2:$M1000,10,0)</f>
        <v>0</v>
      </c>
      <c r="J32" s="9" t="n">
        <f aca="false">VLOOKUP($B32,'All Employee Structures'!$A$2:$M1000,11,0)</f>
        <v>0</v>
      </c>
      <c r="K32" s="9" t="n">
        <f aca="false">VLOOKUP($B32,'All Employee Structures'!$A$2:$M1000,12,0)</f>
        <v>0</v>
      </c>
      <c r="L32" s="9" t="n">
        <f aca="false">VLOOKUP($B32,'All Employee Structures'!$A$2:$M1000,13,0)</f>
        <v>0</v>
      </c>
    </row>
    <row r="33" customFormat="false" ht="15.75" hidden="false" customHeight="false" outlineLevel="0" collapsed="false">
      <c r="A33" s="5" t="s">
        <v>972</v>
      </c>
      <c r="B33" s="5" t="s">
        <v>973</v>
      </c>
      <c r="C33" s="5" t="s">
        <v>187</v>
      </c>
      <c r="D33" s="5" t="s">
        <v>208</v>
      </c>
      <c r="E33" s="2"/>
      <c r="F33" s="2" t="str">
        <f aca="false">IF(OR(ISBLANK($K33),$K33=0,ISNA($K33)),"","YES")</f>
        <v/>
      </c>
      <c r="G33" s="9" t="n">
        <f aca="false">VLOOKUP($B33,'All Employee Structures'!$A$2:$M1000,9,0)</f>
        <v>360000</v>
      </c>
      <c r="H33" s="3" t="n">
        <f aca="false">I33*2</f>
        <v>0</v>
      </c>
      <c r="I33" s="9" t="n">
        <f aca="false">VLOOKUP($B33,'All Employee Structures'!$A$2:$M1000,10,0)</f>
        <v>0</v>
      </c>
      <c r="J33" s="9" t="n">
        <f aca="false">VLOOKUP($B33,'All Employee Structures'!$A$2:$M1000,11,0)</f>
        <v>0</v>
      </c>
      <c r="K33" s="9" t="n">
        <f aca="false">VLOOKUP($B33,'All Employee Structures'!$A$2:$M1000,12,0)</f>
        <v>0</v>
      </c>
      <c r="L33" s="9" t="n">
        <f aca="false">VLOOKUP($B33,'All Employee Structures'!$A$2:$M1000,13,0)</f>
        <v>0</v>
      </c>
    </row>
    <row r="34" customFormat="false" ht="15.75" hidden="false" customHeight="false" outlineLevel="0" collapsed="false">
      <c r="A34" s="5" t="s">
        <v>994</v>
      </c>
      <c r="B34" s="5" t="s">
        <v>995</v>
      </c>
      <c r="C34" s="5" t="s">
        <v>187</v>
      </c>
      <c r="D34" s="5" t="s">
        <v>208</v>
      </c>
      <c r="E34" s="2"/>
      <c r="F34" s="2" t="str">
        <f aca="false">IF(OR(ISBLANK($K34),$K34=0,ISNA($K34)),"","YES")</f>
        <v/>
      </c>
      <c r="G34" s="9" t="n">
        <f aca="false">VLOOKUP($B34,'All Employee Structures'!$A$2:$M1000,9,0)</f>
        <v>300000</v>
      </c>
      <c r="H34" s="3" t="n">
        <f aca="false">I34*2</f>
        <v>770</v>
      </c>
      <c r="I34" s="9" t="n">
        <f aca="false">VLOOKUP($B34,'All Employee Structures'!$A$2:$M1000,10,0)</f>
        <v>385</v>
      </c>
      <c r="J34" s="9" t="n">
        <f aca="false">VLOOKUP($B34,'All Employee Structures'!$A$2:$M1000,11,0)</f>
        <v>0</v>
      </c>
      <c r="K34" s="9" t="n">
        <f aca="false">VLOOKUP($B34,'All Employee Structures'!$A$2:$M1000,12,0)</f>
        <v>0</v>
      </c>
      <c r="L34" s="9" t="n">
        <f aca="false">VLOOKUP($B34,'All Employee Structures'!$A$2:$M1000,13,0)</f>
        <v>0</v>
      </c>
    </row>
    <row r="35" customFormat="false" ht="15.75" hidden="false" customHeight="false" outlineLevel="0" collapsed="false">
      <c r="A35" s="5" t="s">
        <v>996</v>
      </c>
      <c r="B35" s="5" t="s">
        <v>997</v>
      </c>
      <c r="C35" s="5" t="s">
        <v>187</v>
      </c>
      <c r="D35" s="5" t="s">
        <v>208</v>
      </c>
      <c r="E35" s="2"/>
      <c r="F35" s="2" t="str">
        <f aca="false">IF(OR(ISBLANK($K35),$K35=0,ISNA($K35)),"","YES")</f>
        <v/>
      </c>
      <c r="G35" s="9" t="n">
        <f aca="false">VLOOKUP($B35,'All Employee Structures'!$A$2:$M1000,9,0)</f>
        <v>336000</v>
      </c>
      <c r="H35" s="3" t="n">
        <f aca="false">I35*2</f>
        <v>206</v>
      </c>
      <c r="I35" s="9" t="n">
        <f aca="false">VLOOKUP($B35,'All Employee Structures'!$A$2:$M1000,10,0)</f>
        <v>103</v>
      </c>
      <c r="J35" s="9" t="n">
        <f aca="false">VLOOKUP($B35,'All Employee Structures'!$A$2:$M1000,11,0)</f>
        <v>0</v>
      </c>
      <c r="K35" s="9" t="n">
        <f aca="false">VLOOKUP($B35,'All Employee Structures'!$A$2:$M1000,12,0)</f>
        <v>0</v>
      </c>
      <c r="L35" s="9" t="n">
        <f aca="false">VLOOKUP($B35,'All Employee Structures'!$A$2:$M1000,13,0)</f>
        <v>0</v>
      </c>
    </row>
    <row r="36" customFormat="false" ht="15.75" hidden="false" customHeight="false" outlineLevel="0" collapsed="false">
      <c r="A36" s="5" t="s">
        <v>1052</v>
      </c>
      <c r="B36" s="5" t="s">
        <v>1053</v>
      </c>
      <c r="C36" s="5" t="s">
        <v>187</v>
      </c>
      <c r="D36" s="5" t="s">
        <v>208</v>
      </c>
      <c r="E36" s="2"/>
      <c r="F36" s="2" t="str">
        <f aca="false">IF(OR(ISBLANK($K36),$K36=0,ISNA($K36)),"","YES")</f>
        <v/>
      </c>
      <c r="G36" s="9" t="n">
        <f aca="false">VLOOKUP($B36,'All Employee Structures'!$A$2:$M1000,9,0)</f>
        <v>108000</v>
      </c>
      <c r="H36" s="3" t="n">
        <f aca="false">I36*2</f>
        <v>136</v>
      </c>
      <c r="I36" s="9" t="n">
        <f aca="false">VLOOKUP($B36,'All Employee Structures'!$A$2:$M1000,10,0)</f>
        <v>68</v>
      </c>
      <c r="J36" s="9" t="n">
        <f aca="false">VLOOKUP($B36,'All Employee Structures'!$A$2:$M1000,11,0)</f>
        <v>0</v>
      </c>
      <c r="K36" s="9" t="n">
        <f aca="false">VLOOKUP($B36,'All Employee Structures'!$A$2:$M1000,12,0)</f>
        <v>0</v>
      </c>
      <c r="L36" s="9" t="n">
        <f aca="false">VLOOKUP($B36,'All Employee Structures'!$A$2:$M1000,13,0)</f>
        <v>0</v>
      </c>
    </row>
    <row r="37" customFormat="false" ht="15.75" hidden="false" customHeight="false" outlineLevel="0" collapsed="false">
      <c r="A37" s="5" t="s">
        <v>1065</v>
      </c>
      <c r="B37" s="5" t="s">
        <v>1066</v>
      </c>
      <c r="C37" s="5" t="s">
        <v>187</v>
      </c>
      <c r="D37" s="5" t="s">
        <v>208</v>
      </c>
      <c r="E37" s="2"/>
      <c r="F37" s="2" t="str">
        <f aca="false">IF(OR(ISBLANK($K37),$K37=0,ISNA($K37)),"","YES")</f>
        <v/>
      </c>
      <c r="G37" s="9" t="n">
        <f aca="false">VLOOKUP($B37,'All Employee Structures'!$A$2:$M1000,9,0)</f>
        <v>432000</v>
      </c>
      <c r="H37" s="3" t="n">
        <f aca="false">I37*2</f>
        <v>634</v>
      </c>
      <c r="I37" s="9" t="n">
        <f aca="false">VLOOKUP($B37,'All Employee Structures'!$A$2:$M1000,10,0)</f>
        <v>317</v>
      </c>
      <c r="J37" s="9" t="n">
        <f aca="false">VLOOKUP($B37,'All Employee Structures'!$A$2:$M1000,11,0)</f>
        <v>0</v>
      </c>
      <c r="K37" s="9" t="n">
        <f aca="false">VLOOKUP($B37,'All Employee Structures'!$A$2:$M1000,12,0)</f>
        <v>0</v>
      </c>
      <c r="L37" s="9" t="n">
        <f aca="false">VLOOKUP($B37,'All Employee Structures'!$A$2:$M1000,13,0)</f>
        <v>0</v>
      </c>
    </row>
    <row r="38" customFormat="false" ht="15.75" hidden="false" customHeight="false" outlineLevel="0" collapsed="false">
      <c r="A38" s="5" t="s">
        <v>1081</v>
      </c>
      <c r="B38" s="5" t="s">
        <v>1082</v>
      </c>
      <c r="C38" s="5" t="s">
        <v>187</v>
      </c>
      <c r="D38" s="5" t="s">
        <v>208</v>
      </c>
      <c r="E38" s="2"/>
      <c r="F38" s="2" t="str">
        <f aca="false">IF(OR(ISBLANK($K38),$K38=0,ISNA($K38)),"","YES")</f>
        <v/>
      </c>
      <c r="G38" s="9" t="n">
        <f aca="false">VLOOKUP($B38,'All Employee Structures'!$A$2:$M1000,9,0)</f>
        <v>72000</v>
      </c>
      <c r="H38" s="3" t="n">
        <f aca="false">I38*2</f>
        <v>200</v>
      </c>
      <c r="I38" s="9" t="n">
        <f aca="false">VLOOKUP($B38,'All Employee Structures'!$A$2:$M1000,10,0)</f>
        <v>100</v>
      </c>
      <c r="J38" s="9" t="n">
        <f aca="false">VLOOKUP($B38,'All Employee Structures'!$A$2:$M1000,11,0)</f>
        <v>0</v>
      </c>
      <c r="K38" s="9" t="n">
        <f aca="false">VLOOKUP($B38,'All Employee Structures'!$A$2:$M1000,12,0)</f>
        <v>0</v>
      </c>
      <c r="L38" s="9" t="n">
        <f aca="false">VLOOKUP($B38,'All Employee Structures'!$A$2:$M1000,13,0)</f>
        <v>0</v>
      </c>
    </row>
    <row r="39" customFormat="false" ht="15.75" hidden="false" customHeight="false" outlineLevel="0" collapsed="false">
      <c r="A39" s="5" t="s">
        <v>1139</v>
      </c>
      <c r="B39" s="5" t="s">
        <v>1140</v>
      </c>
      <c r="C39" s="5" t="s">
        <v>187</v>
      </c>
      <c r="D39" s="5" t="s">
        <v>208</v>
      </c>
      <c r="E39" s="2"/>
      <c r="F39" s="2" t="str">
        <f aca="false">IF(OR(ISBLANK($K39),$K39=0,ISNA($K39)),"","YES")</f>
        <v/>
      </c>
      <c r="G39" s="9" t="n">
        <f aca="false">VLOOKUP($B39,'All Employee Structures'!$A$2:$M1000,9,0)</f>
        <v>264000</v>
      </c>
      <c r="H39" s="3" t="n">
        <f aca="false">I39*2</f>
        <v>686</v>
      </c>
      <c r="I39" s="9" t="n">
        <f aca="false">VLOOKUP($B39,'All Employee Structures'!$A$2:$M1000,10,0)</f>
        <v>343</v>
      </c>
      <c r="J39" s="9" t="n">
        <f aca="false">VLOOKUP($B39,'All Employee Structures'!$A$2:$M1000,11,0)</f>
        <v>0</v>
      </c>
      <c r="K39" s="9" t="n">
        <f aca="false">VLOOKUP($B39,'All Employee Structures'!$A$2:$M1000,12,0)</f>
        <v>0</v>
      </c>
      <c r="L39" s="9" t="n">
        <f aca="false">VLOOKUP($B39,'All Employee Structures'!$A$2:$M1000,13,0)</f>
        <v>0</v>
      </c>
    </row>
    <row r="40" customFormat="false" ht="15.75" hidden="false" customHeight="false" outlineLevel="0" collapsed="false">
      <c r="A40" s="5" t="s">
        <v>1141</v>
      </c>
      <c r="B40" s="5" t="s">
        <v>1142</v>
      </c>
      <c r="C40" s="5" t="s">
        <v>187</v>
      </c>
      <c r="D40" s="5" t="s">
        <v>208</v>
      </c>
      <c r="E40" s="2"/>
      <c r="F40" s="2" t="str">
        <f aca="false">IF(OR(ISBLANK($K40),$K40=0,ISNA($K40)),"","YES")</f>
        <v/>
      </c>
      <c r="G40" s="9" t="n">
        <f aca="false">VLOOKUP($B40,'All Employee Structures'!$A$2:$M1000,9,0)</f>
        <v>240000</v>
      </c>
      <c r="H40" s="3" t="n">
        <f aca="false">I40*2</f>
        <v>200</v>
      </c>
      <c r="I40" s="9" t="n">
        <f aca="false">VLOOKUP($B40,'All Employee Structures'!$A$2:$M1000,10,0)</f>
        <v>100</v>
      </c>
      <c r="J40" s="9" t="n">
        <f aca="false">VLOOKUP($B40,'All Employee Structures'!$A$2:$M1000,11,0)</f>
        <v>0</v>
      </c>
      <c r="K40" s="9" t="n">
        <f aca="false">VLOOKUP($B40,'All Employee Structures'!$A$2:$M1000,12,0)</f>
        <v>0</v>
      </c>
      <c r="L40" s="9" t="n">
        <f aca="false">VLOOKUP($B40,'All Employee Structures'!$A$2:$M1000,13,0)</f>
        <v>0</v>
      </c>
    </row>
    <row r="41" customFormat="false" ht="15.75" hidden="false" customHeight="false" outlineLevel="0" collapsed="false">
      <c r="A41" s="11" t="s">
        <v>1157</v>
      </c>
      <c r="B41" s="5" t="s">
        <v>1158</v>
      </c>
      <c r="C41" s="5" t="s">
        <v>287</v>
      </c>
      <c r="D41" s="5" t="s">
        <v>208</v>
      </c>
      <c r="E41" s="2"/>
      <c r="F41" s="2" t="str">
        <f aca="false">IF(OR(ISBLANK($K41),$K41=0,ISNA($K41)),"","YES")</f>
        <v/>
      </c>
      <c r="G41" s="9" t="n">
        <f aca="false">VLOOKUP($B41,'All Employee Structures'!$A$2:$M1000,9,0)</f>
        <v>420000</v>
      </c>
      <c r="H41" s="3" t="n">
        <f aca="false">I41*2</f>
        <v>654</v>
      </c>
      <c r="I41" s="9" t="n">
        <f aca="false">VLOOKUP($B41,'All Employee Structures'!$A$2:$M1000,10,0)</f>
        <v>327</v>
      </c>
      <c r="J41" s="9" t="n">
        <f aca="false">VLOOKUP($B41,'All Employee Structures'!$A$2:$M1000,11,0)</f>
        <v>0</v>
      </c>
      <c r="K41" s="9" t="n">
        <f aca="false">VLOOKUP($B41,'All Employee Structures'!$A$2:$M1000,12,0)</f>
        <v>0</v>
      </c>
      <c r="L41" s="9" t="n">
        <f aca="false">VLOOKUP($B41,'All Employee Structures'!$A$2:$M1000,13,0)</f>
        <v>0</v>
      </c>
    </row>
    <row r="42" customFormat="false" ht="15.75" hidden="false" customHeight="false" outlineLevel="0" collapsed="false">
      <c r="A42" s="5" t="s">
        <v>1171</v>
      </c>
      <c r="B42" s="5" t="s">
        <v>1172</v>
      </c>
      <c r="C42" s="5" t="s">
        <v>287</v>
      </c>
      <c r="D42" s="5" t="s">
        <v>208</v>
      </c>
      <c r="E42" s="2"/>
      <c r="F42" s="2" t="str">
        <f aca="false">IF(OR(ISBLANK($K42),$K42=0,ISNA($K42)),"","YES")</f>
        <v/>
      </c>
      <c r="G42" s="9" t="n">
        <f aca="false">VLOOKUP($B42,'All Employee Structures'!$A$2:$M1000,9,0)</f>
        <v>240000</v>
      </c>
      <c r="H42" s="3" t="n">
        <f aca="false">I42*2</f>
        <v>466</v>
      </c>
      <c r="I42" s="9" t="n">
        <f aca="false">VLOOKUP($B42,'All Employee Structures'!$A$2:$M1000,10,0)</f>
        <v>233</v>
      </c>
      <c r="J42" s="9" t="n">
        <f aca="false">VLOOKUP($B42,'All Employee Structures'!$A$2:$M1000,11,0)</f>
        <v>0</v>
      </c>
      <c r="K42" s="9" t="n">
        <f aca="false">VLOOKUP($B42,'All Employee Structures'!$A$2:$M1000,12,0)</f>
        <v>0</v>
      </c>
      <c r="L42" s="9" t="n">
        <f aca="false">VLOOKUP($B42,'All Employee Structures'!$A$2:$M1000,13,0)</f>
        <v>0</v>
      </c>
    </row>
    <row r="43" customFormat="false" ht="15.75" hidden="false" customHeight="false" outlineLevel="0" collapsed="false">
      <c r="A43" s="5" t="s">
        <v>1187</v>
      </c>
      <c r="B43" s="5" t="s">
        <v>1188</v>
      </c>
      <c r="C43" s="5" t="s">
        <v>187</v>
      </c>
      <c r="D43" s="5" t="s">
        <v>208</v>
      </c>
      <c r="E43" s="2"/>
      <c r="F43" s="2" t="str">
        <f aca="false">IF(OR(ISBLANK($K43),$K43=0,ISNA($K43)),"","YES")</f>
        <v/>
      </c>
      <c r="G43" s="9" t="n">
        <f aca="false">VLOOKUP($B43,'All Employee Structures'!$A$2:$M1000,9,0)</f>
        <v>240000</v>
      </c>
      <c r="H43" s="3" t="n">
        <f aca="false">I43*2</f>
        <v>0</v>
      </c>
      <c r="I43" s="9" t="n">
        <f aca="false">VLOOKUP($B43,'All Employee Structures'!$A$2:$M1000,10,0)</f>
        <v>0</v>
      </c>
      <c r="J43" s="9" t="n">
        <f aca="false">VLOOKUP($B43,'All Employee Structures'!$A$2:$M1000,11,0)</f>
        <v>0</v>
      </c>
      <c r="K43" s="9" t="n">
        <f aca="false">VLOOKUP($B43,'All Employee Structures'!$A$2:$M1000,12,0)</f>
        <v>0</v>
      </c>
      <c r="L43" s="9" t="n">
        <f aca="false">VLOOKUP($B43,'All Employee Structures'!$A$2:$M1000,13,0)</f>
        <v>0</v>
      </c>
    </row>
    <row r="44" customFormat="false" ht="15.75" hidden="false" customHeight="false" outlineLevel="0" collapsed="false">
      <c r="A44" s="5" t="s">
        <v>1189</v>
      </c>
      <c r="B44" s="5" t="s">
        <v>1190</v>
      </c>
      <c r="C44" s="5" t="s">
        <v>287</v>
      </c>
      <c r="D44" s="5" t="s">
        <v>208</v>
      </c>
      <c r="E44" s="2"/>
      <c r="F44" s="2" t="str">
        <f aca="false">IF(OR(ISBLANK($K44),$K44=0,ISNA($K44)),"","YES")</f>
        <v/>
      </c>
      <c r="G44" s="9" t="n">
        <f aca="false">VLOOKUP($B44,'All Employee Structures'!$A$2:$M1000,9,0)</f>
        <v>240000</v>
      </c>
      <c r="H44" s="3" t="n">
        <f aca="false">I44*2</f>
        <v>532</v>
      </c>
      <c r="I44" s="9" t="n">
        <f aca="false">VLOOKUP($B44,'All Employee Structures'!$A$2:$M1000,10,0)</f>
        <v>266</v>
      </c>
      <c r="J44" s="9" t="n">
        <f aca="false">VLOOKUP($B44,'All Employee Structures'!$A$2:$M1000,11,0)</f>
        <v>0</v>
      </c>
      <c r="K44" s="9" t="n">
        <f aca="false">VLOOKUP($B44,'All Employee Structures'!$A$2:$M1000,12,0)</f>
        <v>0</v>
      </c>
      <c r="L44" s="9" t="n">
        <f aca="false">VLOOKUP($B44,'All Employee Structures'!$A$2:$M1000,13,0)</f>
        <v>0</v>
      </c>
    </row>
    <row r="45" customFormat="false" ht="15.75" hidden="false" customHeight="false" outlineLevel="0" collapsed="false">
      <c r="A45" s="5" t="s">
        <v>1201</v>
      </c>
      <c r="B45" s="5" t="s">
        <v>1202</v>
      </c>
      <c r="C45" s="5" t="s">
        <v>187</v>
      </c>
      <c r="D45" s="5" t="s">
        <v>208</v>
      </c>
      <c r="E45" s="2"/>
      <c r="F45" s="2" t="str">
        <f aca="false">IF(OR(ISBLANK($K45),$K45=0,ISNA($K45)),"","YES")</f>
        <v/>
      </c>
      <c r="G45" s="9" t="n">
        <f aca="false">VLOOKUP($B45,'All Employee Structures'!$A$2:$M1000,9,0)</f>
        <v>180000</v>
      </c>
      <c r="H45" s="3" t="n">
        <f aca="false">I45*2</f>
        <v>648</v>
      </c>
      <c r="I45" s="9" t="n">
        <f aca="false">VLOOKUP($B45,'All Employee Structures'!$A$2:$M1000,10,0)</f>
        <v>324</v>
      </c>
      <c r="J45" s="9" t="n">
        <f aca="false">VLOOKUP($B45,'All Employee Structures'!$A$2:$M1000,11,0)</f>
        <v>0</v>
      </c>
      <c r="K45" s="9" t="n">
        <f aca="false">VLOOKUP($B45,'All Employee Structures'!$A$2:$M1000,12,0)</f>
        <v>0</v>
      </c>
      <c r="L45" s="9" t="n">
        <f aca="false">VLOOKUP($B45,'All Employee Structures'!$A$2:$M1000,13,0)</f>
        <v>0</v>
      </c>
    </row>
    <row r="46" customFormat="false" ht="15.75" hidden="false" customHeight="false" outlineLevel="0" collapsed="false">
      <c r="A46" s="5" t="s">
        <v>1211</v>
      </c>
      <c r="B46" s="5" t="s">
        <v>1212</v>
      </c>
      <c r="C46" s="5" t="s">
        <v>187</v>
      </c>
      <c r="D46" s="5" t="s">
        <v>208</v>
      </c>
      <c r="E46" s="2"/>
      <c r="F46" s="2" t="str">
        <f aca="false">IF(OR(ISBLANK($K46),$K46=0,ISNA($K46)),"","YES")</f>
        <v/>
      </c>
      <c r="G46" s="9" t="n">
        <f aca="false">VLOOKUP($B46,'All Employee Structures'!$A$2:$M1000,9,0)</f>
        <v>216000</v>
      </c>
      <c r="H46" s="3" t="n">
        <f aca="false">I46*2</f>
        <v>0</v>
      </c>
      <c r="I46" s="9" t="n">
        <f aca="false">VLOOKUP($B46,'All Employee Structures'!$A$2:$M1000,10,0)</f>
        <v>0</v>
      </c>
      <c r="J46" s="9" t="n">
        <f aca="false">VLOOKUP($B46,'All Employee Structures'!$A$2:$M1000,11,0)</f>
        <v>0</v>
      </c>
      <c r="K46" s="9" t="n">
        <f aca="false">VLOOKUP($B46,'All Employee Structures'!$A$2:$M1000,12,0)</f>
        <v>0</v>
      </c>
      <c r="L46" s="9" t="n">
        <f aca="false">VLOOKUP($B46,'All Employee Structures'!$A$2:$M1000,13,0)</f>
        <v>0</v>
      </c>
    </row>
    <row r="47" customFormat="false" ht="15.75" hidden="false" customHeight="false" outlineLevel="0" collapsed="false">
      <c r="A47" s="7" t="s">
        <v>1225</v>
      </c>
      <c r="B47" s="7" t="s">
        <v>1226</v>
      </c>
      <c r="C47" s="7" t="s">
        <v>187</v>
      </c>
      <c r="D47" s="7" t="s">
        <v>208</v>
      </c>
      <c r="E47" s="8"/>
      <c r="F47" s="8" t="e">
        <f aca="false">IF(OR(ISBLANK($K47),$K47=0,ISNA($K47)),"","YES")</f>
        <v>#VALUE!</v>
      </c>
      <c r="G47" s="8" t="e">
        <f aca="false">VLOOKUP($B47,'All Employee Structures'!$A$2:$M1000,9,0)</f>
        <v>#N/A</v>
      </c>
      <c r="H47" s="3" t="e">
        <f aca="false">I47*2</f>
        <v>#N/A</v>
      </c>
      <c r="I47" s="8" t="e">
        <f aca="false">VLOOKUP($B47,'All Employee Structures'!$A$2:$M1000,10,0)</f>
        <v>#N/A</v>
      </c>
      <c r="J47" s="8" t="e">
        <f aca="false">VLOOKUP($B47,'All Employee Structures'!$A$2:$M1000,11,0)</f>
        <v>#N/A</v>
      </c>
      <c r="K47" s="8" t="e">
        <f aca="false">VLOOKUP($B47,'All Employee Structures'!$A$2:$M1000,12,0)</f>
        <v>#N/A</v>
      </c>
      <c r="L47" s="8" t="e">
        <f aca="false">VLOOKUP($B47,'All Employee Structures'!$A$2:$M1000,13,0)</f>
        <v>#N/A</v>
      </c>
    </row>
    <row r="48" customFormat="false" ht="15.75" hidden="false" customHeight="false" outlineLevel="0" collapsed="false">
      <c r="A48" s="5" t="s">
        <v>1245</v>
      </c>
      <c r="B48" s="5" t="s">
        <v>1246</v>
      </c>
      <c r="C48" s="5" t="s">
        <v>187</v>
      </c>
      <c r="D48" s="5" t="s">
        <v>208</v>
      </c>
      <c r="E48" s="2"/>
      <c r="F48" s="2" t="str">
        <f aca="false">IF(OR(ISBLANK($K48),$K48=0,ISNA($K48)),"","YES")</f>
        <v/>
      </c>
      <c r="G48" s="9" t="n">
        <f aca="false">VLOOKUP($B48,'All Employee Structures'!$A$2:$M1000,9,0)</f>
        <v>432000</v>
      </c>
      <c r="H48" s="3" t="n">
        <f aca="false">I48*2</f>
        <v>728</v>
      </c>
      <c r="I48" s="9" t="n">
        <f aca="false">VLOOKUP($B48,'All Employee Structures'!$A$2:$M1000,10,0)</f>
        <v>364</v>
      </c>
      <c r="J48" s="9" t="n">
        <f aca="false">VLOOKUP($B48,'All Employee Structures'!$A$2:$M1000,11,0)</f>
        <v>0</v>
      </c>
      <c r="K48" s="9" t="n">
        <f aca="false">VLOOKUP($B48,'All Employee Structures'!$A$2:$M1000,12,0)</f>
        <v>0</v>
      </c>
      <c r="L48" s="9" t="n">
        <f aca="false">VLOOKUP($B48,'All Employee Structures'!$A$2:$M1000,13,0)</f>
        <v>0</v>
      </c>
    </row>
    <row r="49" customFormat="false" ht="15.75" hidden="false" customHeight="false" outlineLevel="0" collapsed="false">
      <c r="A49" s="5" t="s">
        <v>1249</v>
      </c>
      <c r="B49" s="5" t="s">
        <v>1250</v>
      </c>
      <c r="C49" s="5" t="s">
        <v>187</v>
      </c>
      <c r="D49" s="5" t="s">
        <v>208</v>
      </c>
      <c r="E49" s="2"/>
      <c r="F49" s="2" t="str">
        <f aca="false">IF(OR(ISBLANK($K49),$K49=0,ISNA($K49)),"","YES")</f>
        <v/>
      </c>
      <c r="G49" s="9" t="n">
        <f aca="false">VLOOKUP($B49,'All Employee Structures'!$A$2:$M1000,9,0)</f>
        <v>180000</v>
      </c>
      <c r="H49" s="3" t="n">
        <f aca="false">I49*2</f>
        <v>658</v>
      </c>
      <c r="I49" s="9" t="n">
        <f aca="false">VLOOKUP($B49,'All Employee Structures'!$A$2:$M1000,10,0)</f>
        <v>329</v>
      </c>
      <c r="J49" s="9" t="n">
        <f aca="false">VLOOKUP($B49,'All Employee Structures'!$A$2:$M1000,11,0)</f>
        <v>0</v>
      </c>
      <c r="K49" s="9" t="n">
        <f aca="false">VLOOKUP($B49,'All Employee Structures'!$A$2:$M1000,12,0)</f>
        <v>0</v>
      </c>
      <c r="L49" s="9" t="n">
        <f aca="false">VLOOKUP($B49,'All Employee Structures'!$A$2:$M1000,13,0)</f>
        <v>0</v>
      </c>
    </row>
    <row r="50" customFormat="false" ht="15.75" hidden="false" customHeight="false" outlineLevel="0" collapsed="false">
      <c r="A50" s="5" t="s">
        <v>1271</v>
      </c>
      <c r="B50" s="5" t="s">
        <v>1272</v>
      </c>
      <c r="C50" s="5" t="s">
        <v>187</v>
      </c>
      <c r="D50" s="5" t="s">
        <v>208</v>
      </c>
      <c r="E50" s="2"/>
      <c r="F50" s="2" t="str">
        <f aca="false">IF(OR(ISBLANK($K50),$K50=0,ISNA($K50)),"","YES")</f>
        <v/>
      </c>
      <c r="G50" s="9" t="n">
        <f aca="false">VLOOKUP($B50,'All Employee Structures'!$A$2:$M1000,9,0)</f>
        <v>360000</v>
      </c>
      <c r="H50" s="3" t="n">
        <f aca="false">I50*2</f>
        <v>200</v>
      </c>
      <c r="I50" s="9" t="n">
        <f aca="false">VLOOKUP($B50,'All Employee Structures'!$A$2:$M1000,10,0)</f>
        <v>100</v>
      </c>
      <c r="J50" s="9" t="n">
        <f aca="false">VLOOKUP($B50,'All Employee Structures'!$A$2:$M1000,11,0)</f>
        <v>0</v>
      </c>
      <c r="K50" s="9" t="n">
        <f aca="false">VLOOKUP($B50,'All Employee Structures'!$A$2:$M1000,12,0)</f>
        <v>0</v>
      </c>
      <c r="L50" s="9" t="n">
        <f aca="false">VLOOKUP($B50,'All Employee Structures'!$A$2:$M1000,13,0)</f>
        <v>0</v>
      </c>
    </row>
    <row r="51" customFormat="false" ht="15.75" hidden="false" customHeight="false" outlineLevel="0" collapsed="false">
      <c r="A51" s="5" t="s">
        <v>1275</v>
      </c>
      <c r="B51" s="5" t="s">
        <v>1276</v>
      </c>
      <c r="C51" s="5" t="s">
        <v>287</v>
      </c>
      <c r="D51" s="5" t="s">
        <v>208</v>
      </c>
      <c r="E51" s="2"/>
      <c r="F51" s="2" t="str">
        <f aca="false">IF(OR(ISBLANK($K51),$K51=0,ISNA($K51)),"","YES")</f>
        <v/>
      </c>
      <c r="G51" s="9" t="n">
        <f aca="false">VLOOKUP($B51,'All Employee Structures'!$A$2:$M1000,9,0)</f>
        <v>240000</v>
      </c>
      <c r="H51" s="3" t="n">
        <f aca="false">I51*2</f>
        <v>668</v>
      </c>
      <c r="I51" s="9" t="n">
        <f aca="false">VLOOKUP($B51,'All Employee Structures'!$A$2:$M1000,10,0)</f>
        <v>334</v>
      </c>
      <c r="J51" s="9" t="n">
        <f aca="false">VLOOKUP($B51,'All Employee Structures'!$A$2:$M1000,11,0)</f>
        <v>0</v>
      </c>
      <c r="K51" s="9" t="n">
        <f aca="false">VLOOKUP($B51,'All Employee Structures'!$A$2:$M1000,12,0)</f>
        <v>0</v>
      </c>
      <c r="L51" s="9" t="n">
        <f aca="false">VLOOKUP($B51,'All Employee Structures'!$A$2:$M1000,13,0)</f>
        <v>0</v>
      </c>
    </row>
    <row r="52" customFormat="false" ht="15.75" hidden="false" customHeight="false" outlineLevel="0" collapsed="false">
      <c r="A52" s="7" t="s">
        <v>1326</v>
      </c>
      <c r="B52" s="7" t="s">
        <v>1327</v>
      </c>
      <c r="C52" s="7" t="s">
        <v>287</v>
      </c>
      <c r="D52" s="7" t="s">
        <v>208</v>
      </c>
      <c r="E52" s="8"/>
      <c r="F52" s="8" t="e">
        <f aca="false">IF(OR(ISBLANK($K52),$K52=0,ISNA($K52)),"","YES")</f>
        <v>#VALUE!</v>
      </c>
      <c r="G52" s="8" t="e">
        <f aca="false">VLOOKUP($B52,'All Employee Structures'!$A$2:$M1000,9,0)</f>
        <v>#N/A</v>
      </c>
      <c r="H52" s="3" t="e">
        <f aca="false">I52*2</f>
        <v>#N/A</v>
      </c>
      <c r="I52" s="8" t="e">
        <f aca="false">VLOOKUP($B52,'All Employee Structures'!$A$2:$M1000,10,0)</f>
        <v>#N/A</v>
      </c>
      <c r="J52" s="8" t="e">
        <f aca="false">VLOOKUP($B52,'All Employee Structures'!$A$2:$M1000,11,0)</f>
        <v>#N/A</v>
      </c>
      <c r="K52" s="8" t="e">
        <f aca="false">VLOOKUP($B52,'All Employee Structures'!$A$2:$M1000,12,0)</f>
        <v>#N/A</v>
      </c>
      <c r="L52" s="8" t="e">
        <f aca="false">VLOOKUP($B52,'All Employee Structures'!$A$2:$M1000,13,0)</f>
        <v>#N/A</v>
      </c>
    </row>
    <row r="53" customFormat="false" ht="15.75" hidden="false" customHeight="false" outlineLevel="0" collapsed="false">
      <c r="A53" s="7" t="s">
        <v>1368</v>
      </c>
      <c r="B53" s="7" t="s">
        <v>1369</v>
      </c>
      <c r="C53" s="7" t="s">
        <v>215</v>
      </c>
      <c r="D53" s="7" t="s">
        <v>208</v>
      </c>
      <c r="E53" s="8"/>
      <c r="F53" s="8" t="e">
        <f aca="false">IF(OR(ISBLANK($K53),$K53=0,ISNA($K53)),"","YES")</f>
        <v>#VALUE!</v>
      </c>
      <c r="G53" s="8" t="e">
        <f aca="false">VLOOKUP($B53,'All Employee Structures'!$A$2:$M1000,9,0)</f>
        <v>#N/A</v>
      </c>
      <c r="H53" s="3" t="e">
        <f aca="false">I53*2</f>
        <v>#N/A</v>
      </c>
      <c r="I53" s="8" t="e">
        <f aca="false">VLOOKUP($B53,'All Employee Structures'!$A$2:$M1000,10,0)</f>
        <v>#N/A</v>
      </c>
      <c r="J53" s="8" t="e">
        <f aca="false">VLOOKUP($B53,'All Employee Structures'!$A$2:$M1000,11,0)</f>
        <v>#N/A</v>
      </c>
      <c r="K53" s="8" t="e">
        <f aca="false">VLOOKUP($B53,'All Employee Structures'!$A$2:$M1000,12,0)</f>
        <v>#N/A</v>
      </c>
      <c r="L53" s="8" t="e">
        <f aca="false">VLOOKUP($B53,'All Employee Structures'!$A$2:$M1000,13,0)</f>
        <v>#N/A</v>
      </c>
    </row>
    <row r="54" customFormat="false" ht="15.75" hidden="false" customHeight="false" outlineLevel="0" collapsed="false">
      <c r="A54" s="7" t="s">
        <v>1376</v>
      </c>
      <c r="B54" s="7" t="s">
        <v>1377</v>
      </c>
      <c r="C54" s="7" t="s">
        <v>187</v>
      </c>
      <c r="D54" s="7" t="s">
        <v>208</v>
      </c>
      <c r="E54" s="8"/>
      <c r="F54" s="8" t="e">
        <f aca="false">IF(OR(ISBLANK($K54),$K54=0,ISNA($K54)),"","YES")</f>
        <v>#VALUE!</v>
      </c>
      <c r="G54" s="8" t="e">
        <f aca="false">VLOOKUP($B54,'All Employee Structures'!$A$2:$M1000,9,0)</f>
        <v>#N/A</v>
      </c>
      <c r="H54" s="3" t="e">
        <f aca="false">I54*2</f>
        <v>#N/A</v>
      </c>
      <c r="I54" s="8" t="e">
        <f aca="false">VLOOKUP($B54,'All Employee Structures'!$A$2:$M1000,10,0)</f>
        <v>#N/A</v>
      </c>
      <c r="J54" s="8" t="e">
        <f aca="false">VLOOKUP($B54,'All Employee Structures'!$A$2:$M1000,11,0)</f>
        <v>#N/A</v>
      </c>
      <c r="K54" s="8" t="e">
        <f aca="false">VLOOKUP($B54,'All Employee Structures'!$A$2:$M1000,12,0)</f>
        <v>#N/A</v>
      </c>
      <c r="L54" s="8" t="e">
        <f aca="false">VLOOKUP($B54,'All Employee Structures'!$A$2:$M1000,13,0)</f>
        <v>#N/A</v>
      </c>
    </row>
    <row r="55" customFormat="false" ht="15.75" hidden="false" customHeight="false" outlineLevel="0" collapsed="false">
      <c r="A55" s="5" t="s">
        <v>1391</v>
      </c>
      <c r="B55" s="5" t="s">
        <v>1392</v>
      </c>
      <c r="C55" s="5" t="s">
        <v>187</v>
      </c>
      <c r="D55" s="5" t="s">
        <v>208</v>
      </c>
      <c r="E55" s="2"/>
      <c r="F55" s="2" t="str">
        <f aca="false">IF(OR(ISBLANK($K55),$K55=0,ISNA($K55)),"","YES")</f>
        <v/>
      </c>
      <c r="G55" s="9" t="n">
        <f aca="false">VLOOKUP($B55,'All Employee Structures'!$A$2:$M1000,9,0)</f>
        <v>600000</v>
      </c>
      <c r="H55" s="3" t="n">
        <f aca="false">I55*2</f>
        <v>0</v>
      </c>
      <c r="I55" s="9" t="n">
        <f aca="false">VLOOKUP($B55,'All Employee Structures'!$A$2:$M1000,10,0)</f>
        <v>0</v>
      </c>
      <c r="J55" s="9" t="n">
        <f aca="false">VLOOKUP($B55,'All Employee Structures'!$A$2:$M1000,11,0)</f>
        <v>0</v>
      </c>
      <c r="K55" s="9" t="n">
        <f aca="false">VLOOKUP($B55,'All Employee Structures'!$A$2:$M1000,12,0)</f>
        <v>0</v>
      </c>
      <c r="L55" s="9" t="n">
        <f aca="false">VLOOKUP($B55,'All Employee Structures'!$A$2:$M1000,13,0)</f>
        <v>0</v>
      </c>
    </row>
    <row r="56" customFormat="false" ht="15.75" hidden="false" customHeight="false" outlineLevel="0" collapsed="false">
      <c r="A56" s="5" t="s">
        <v>1409</v>
      </c>
      <c r="B56" s="5" t="s">
        <v>1410</v>
      </c>
      <c r="C56" s="5" t="s">
        <v>187</v>
      </c>
      <c r="D56" s="5" t="s">
        <v>208</v>
      </c>
      <c r="E56" s="2"/>
      <c r="F56" s="2" t="str">
        <f aca="false">IF(OR(ISBLANK($K56),$K56=0,ISNA($K56)),"","YES")</f>
        <v/>
      </c>
      <c r="G56" s="9" t="n">
        <f aca="false">VLOOKUP($B56,'All Employee Structures'!$A$2:$M1000,9,0)</f>
        <v>960000</v>
      </c>
      <c r="H56" s="3" t="n">
        <f aca="false">I56*2</f>
        <v>200</v>
      </c>
      <c r="I56" s="9" t="n">
        <f aca="false">VLOOKUP($B56,'All Employee Structures'!$A$2:$M1000,10,0)</f>
        <v>100</v>
      </c>
      <c r="J56" s="9" t="n">
        <f aca="false">VLOOKUP($B56,'All Employee Structures'!$A$2:$M1000,11,0)</f>
        <v>0</v>
      </c>
      <c r="K56" s="9" t="n">
        <f aca="false">VLOOKUP($B56,'All Employee Structures'!$A$2:$M1000,12,0)</f>
        <v>0</v>
      </c>
      <c r="L56" s="9" t="n">
        <f aca="false">VLOOKUP($B56,'All Employee Structures'!$A$2:$M1000,13,0)</f>
        <v>0</v>
      </c>
    </row>
    <row r="57" customFormat="false" ht="15.75" hidden="false" customHeight="false" outlineLevel="0" collapsed="false">
      <c r="A57" s="5" t="s">
        <v>1413</v>
      </c>
      <c r="B57" s="5" t="s">
        <v>1414</v>
      </c>
      <c r="C57" s="5" t="s">
        <v>183</v>
      </c>
      <c r="D57" s="5" t="s">
        <v>208</v>
      </c>
      <c r="E57" s="2"/>
      <c r="F57" s="2" t="str">
        <f aca="false">IF(OR(ISBLANK($K57),$K57=0,ISNA($K57)),"","YES")</f>
        <v/>
      </c>
      <c r="G57" s="9" t="n">
        <f aca="false">VLOOKUP($B57,'All Employee Structures'!$A$2:$M1000,9,0)</f>
        <v>330000</v>
      </c>
      <c r="H57" s="3" t="n">
        <f aca="false">I57*2</f>
        <v>798</v>
      </c>
      <c r="I57" s="9" t="n">
        <f aca="false">VLOOKUP($B57,'All Employee Structures'!$A$2:$M1000,10,0)</f>
        <v>399</v>
      </c>
      <c r="J57" s="9" t="n">
        <f aca="false">VLOOKUP($B57,'All Employee Structures'!$A$2:$M1000,11,0)</f>
        <v>0</v>
      </c>
      <c r="K57" s="9" t="n">
        <f aca="false">VLOOKUP($B57,'All Employee Structures'!$A$2:$M1000,12,0)</f>
        <v>0</v>
      </c>
      <c r="L57" s="9" t="n">
        <f aca="false">VLOOKUP($B57,'All Employee Structures'!$A$2:$M1000,13,0)</f>
        <v>0</v>
      </c>
    </row>
    <row r="58" customFormat="false" ht="15.75" hidden="false" customHeight="false" outlineLevel="0" collapsed="false">
      <c r="A58" s="5" t="s">
        <v>1424</v>
      </c>
      <c r="B58" s="5" t="s">
        <v>1425</v>
      </c>
      <c r="C58" s="5" t="s">
        <v>1426</v>
      </c>
      <c r="D58" s="5" t="s">
        <v>208</v>
      </c>
      <c r="E58" s="2"/>
      <c r="F58" s="2" t="str">
        <f aca="false">IF(OR(ISBLANK($K58),$K58=0,ISNA($K58)),"","YES")</f>
        <v/>
      </c>
      <c r="G58" s="9" t="n">
        <f aca="false">VLOOKUP($B58,'All Employee Structures'!$A$2:$M1000,9,0)</f>
        <v>240000</v>
      </c>
      <c r="H58" s="3" t="n">
        <f aca="false">I58*2</f>
        <v>1028</v>
      </c>
      <c r="I58" s="9" t="n">
        <f aca="false">VLOOKUP($B58,'All Employee Structures'!$A$2:$M1000,10,0)</f>
        <v>514</v>
      </c>
      <c r="J58" s="9" t="n">
        <f aca="false">VLOOKUP($B58,'All Employee Structures'!$A$2:$M1000,11,0)</f>
        <v>0</v>
      </c>
      <c r="K58" s="9" t="n">
        <f aca="false">VLOOKUP($B58,'All Employee Structures'!$A$2:$M1000,12,0)</f>
        <v>0</v>
      </c>
      <c r="L58" s="9" t="n">
        <f aca="false">VLOOKUP($B58,'All Employee Structures'!$A$2:$M1000,13,0)</f>
        <v>0</v>
      </c>
    </row>
    <row r="59" customFormat="false" ht="15.75" hidden="false" customHeight="false" outlineLevel="0" collapsed="false">
      <c r="A59" s="5" t="s">
        <v>1499</v>
      </c>
      <c r="B59" s="5" t="s">
        <v>1500</v>
      </c>
      <c r="C59" s="5" t="s">
        <v>187</v>
      </c>
      <c r="D59" s="5" t="s">
        <v>208</v>
      </c>
      <c r="E59" s="2"/>
      <c r="F59" s="2" t="str">
        <f aca="false">IF(OR(ISBLANK($K59),$K59=0,ISNA($K59)),"","YES")</f>
        <v/>
      </c>
      <c r="G59" s="9" t="n">
        <f aca="false">VLOOKUP($B59,'All Employee Structures'!$A$2:$M1000,9,0)</f>
        <v>240000</v>
      </c>
      <c r="H59" s="3" t="n">
        <f aca="false">I59*2</f>
        <v>200</v>
      </c>
      <c r="I59" s="9" t="n">
        <f aca="false">VLOOKUP($B59,'All Employee Structures'!$A$2:$M1000,10,0)</f>
        <v>100</v>
      </c>
      <c r="J59" s="9" t="n">
        <f aca="false">VLOOKUP($B59,'All Employee Structures'!$A$2:$M1000,11,0)</f>
        <v>0</v>
      </c>
      <c r="K59" s="9" t="n">
        <f aca="false">VLOOKUP($B59,'All Employee Structures'!$A$2:$M1000,12,0)</f>
        <v>0</v>
      </c>
      <c r="L59" s="9" t="n">
        <f aca="false">VLOOKUP($B59,'All Employee Structures'!$A$2:$M1000,13,0)</f>
        <v>0</v>
      </c>
    </row>
    <row r="60" customFormat="false" ht="15.75" hidden="false" customHeight="false" outlineLevel="0" collapsed="false">
      <c r="A60" s="7" t="s">
        <v>1505</v>
      </c>
      <c r="B60" s="7" t="s">
        <v>1506</v>
      </c>
      <c r="C60" s="7" t="s">
        <v>187</v>
      </c>
      <c r="D60" s="7" t="s">
        <v>208</v>
      </c>
      <c r="E60" s="8"/>
      <c r="F60" s="8" t="e">
        <f aca="false">IF(OR(ISBLANK($K60),$K60=0,ISNA($K60)),"","YES")</f>
        <v>#VALUE!</v>
      </c>
      <c r="G60" s="8" t="e">
        <f aca="false">VLOOKUP($B60,'All Employee Structures'!$A$2:$M1000,9,0)</f>
        <v>#N/A</v>
      </c>
      <c r="H60" s="3" t="e">
        <f aca="false">I60*2</f>
        <v>#N/A</v>
      </c>
      <c r="I60" s="8" t="e">
        <f aca="false">VLOOKUP($B60,'All Employee Structures'!$A$2:$M1000,10,0)</f>
        <v>#N/A</v>
      </c>
      <c r="J60" s="8" t="e">
        <f aca="false">VLOOKUP($B60,'All Employee Structures'!$A$2:$M1000,11,0)</f>
        <v>#N/A</v>
      </c>
      <c r="K60" s="8" t="e">
        <f aca="false">VLOOKUP($B60,'All Employee Structures'!$A$2:$M1000,12,0)</f>
        <v>#N/A</v>
      </c>
      <c r="L60" s="8" t="e">
        <f aca="false">VLOOKUP($B60,'All Employee Structures'!$A$2:$M1000,13,0)</f>
        <v>#N/A</v>
      </c>
    </row>
    <row r="61" customFormat="false" ht="15.75" hidden="false" customHeight="false" outlineLevel="0" collapsed="false">
      <c r="A61" s="5" t="s">
        <v>1507</v>
      </c>
      <c r="B61" s="5" t="s">
        <v>1508</v>
      </c>
      <c r="C61" s="5" t="s">
        <v>187</v>
      </c>
      <c r="D61" s="5" t="s">
        <v>208</v>
      </c>
      <c r="E61" s="2"/>
      <c r="F61" s="2" t="str">
        <f aca="false">IF(OR(ISBLANK($K61),$K61=0,ISNA($K61)),"","YES")</f>
        <v/>
      </c>
      <c r="G61" s="9" t="n">
        <f aca="false">VLOOKUP($B61,'All Employee Structures'!$A$2:$M1000,9,0)</f>
        <v>180000</v>
      </c>
      <c r="H61" s="3" t="n">
        <f aca="false">I61*2</f>
        <v>104</v>
      </c>
      <c r="I61" s="9" t="n">
        <f aca="false">VLOOKUP($B61,'All Employee Structures'!$A$2:$M1000,10,0)</f>
        <v>52</v>
      </c>
      <c r="J61" s="9" t="n">
        <f aca="false">VLOOKUP($B61,'All Employee Structures'!$A$2:$M1000,11,0)</f>
        <v>0</v>
      </c>
      <c r="K61" s="9" t="n">
        <f aca="false">VLOOKUP($B61,'All Employee Structures'!$A$2:$M1000,12,0)</f>
        <v>0</v>
      </c>
      <c r="L61" s="9" t="n">
        <f aca="false">VLOOKUP($B61,'All Employee Structures'!$A$2:$M1000,13,0)</f>
        <v>0</v>
      </c>
    </row>
    <row r="62" customFormat="false" ht="15.75" hidden="false" customHeight="false" outlineLevel="0" collapsed="false">
      <c r="A62" s="5" t="s">
        <v>1509</v>
      </c>
      <c r="B62" s="5" t="s">
        <v>1510</v>
      </c>
      <c r="C62" s="5" t="s">
        <v>187</v>
      </c>
      <c r="D62" s="5" t="s">
        <v>208</v>
      </c>
      <c r="E62" s="2"/>
      <c r="F62" s="2" t="str">
        <f aca="false">IF(OR(ISBLANK($K62),$K62=0,ISNA($K62)),"","YES")</f>
        <v/>
      </c>
      <c r="G62" s="9" t="n">
        <f aca="false">VLOOKUP($B62,'All Employee Structures'!$A$2:$M1000,9,0)</f>
        <v>312000</v>
      </c>
      <c r="H62" s="3" t="n">
        <f aca="false">I62*2</f>
        <v>206</v>
      </c>
      <c r="I62" s="9" t="n">
        <f aca="false">VLOOKUP($B62,'All Employee Structures'!$A$2:$M1000,10,0)</f>
        <v>103</v>
      </c>
      <c r="J62" s="9" t="n">
        <f aca="false">VLOOKUP($B62,'All Employee Structures'!$A$2:$M1000,11,0)</f>
        <v>0</v>
      </c>
      <c r="K62" s="9" t="n">
        <f aca="false">VLOOKUP($B62,'All Employee Structures'!$A$2:$M1000,12,0)</f>
        <v>0</v>
      </c>
      <c r="L62" s="9" t="n">
        <f aca="false">VLOOKUP($B62,'All Employee Structures'!$A$2:$M1000,13,0)</f>
        <v>0</v>
      </c>
    </row>
    <row r="63" customFormat="false" ht="15.75" hidden="false" customHeight="false" outlineLevel="0" collapsed="false">
      <c r="A63" s="5" t="s">
        <v>1515</v>
      </c>
      <c r="B63" s="5" t="s">
        <v>1516</v>
      </c>
      <c r="C63" s="5" t="s">
        <v>187</v>
      </c>
      <c r="D63" s="5" t="s">
        <v>208</v>
      </c>
      <c r="E63" s="2"/>
      <c r="F63" s="2" t="str">
        <f aca="false">IF(OR(ISBLANK($K63),$K63=0,ISNA($K63)),"","YES")</f>
        <v/>
      </c>
      <c r="G63" s="9" t="n">
        <f aca="false">VLOOKUP($B63,'All Employee Structures'!$A$2:$M1000,9,0)</f>
        <v>192000</v>
      </c>
      <c r="H63" s="3" t="n">
        <f aca="false">I63*2</f>
        <v>200</v>
      </c>
      <c r="I63" s="9" t="n">
        <f aca="false">VLOOKUP($B63,'All Employee Structures'!$A$2:$M1000,10,0)</f>
        <v>100</v>
      </c>
      <c r="J63" s="9" t="n">
        <f aca="false">VLOOKUP($B63,'All Employee Structures'!$A$2:$M1000,11,0)</f>
        <v>0</v>
      </c>
      <c r="K63" s="9" t="n">
        <f aca="false">VLOOKUP($B63,'All Employee Structures'!$A$2:$M1000,12,0)</f>
        <v>0</v>
      </c>
      <c r="L63" s="9" t="n">
        <f aca="false">VLOOKUP($B63,'All Employee Structures'!$A$2:$M1000,13,0)</f>
        <v>0</v>
      </c>
    </row>
    <row r="64" customFormat="false" ht="15.75" hidden="false" customHeight="false" outlineLevel="0" collapsed="false">
      <c r="A64" s="5" t="s">
        <v>1519</v>
      </c>
      <c r="B64" s="5" t="s">
        <v>1520</v>
      </c>
      <c r="C64" s="5" t="s">
        <v>187</v>
      </c>
      <c r="D64" s="5" t="s">
        <v>208</v>
      </c>
      <c r="E64" s="2"/>
      <c r="F64" s="2" t="str">
        <f aca="false">IF(OR(ISBLANK($K64),$K64=0,ISNA($K64)),"","YES")</f>
        <v/>
      </c>
      <c r="G64" s="9" t="n">
        <f aca="false">VLOOKUP($B64,'All Employee Structures'!$A$2:$M1000,9,0)</f>
        <v>300000</v>
      </c>
      <c r="H64" s="3" t="n">
        <f aca="false">I64*2</f>
        <v>634</v>
      </c>
      <c r="I64" s="9" t="n">
        <f aca="false">VLOOKUP($B64,'All Employee Structures'!$A$2:$M1000,10,0)</f>
        <v>317</v>
      </c>
      <c r="J64" s="9" t="n">
        <f aca="false">VLOOKUP($B64,'All Employee Structures'!$A$2:$M1000,11,0)</f>
        <v>0</v>
      </c>
      <c r="K64" s="9" t="n">
        <f aca="false">VLOOKUP($B64,'All Employee Structures'!$A$2:$M1000,12,0)</f>
        <v>0</v>
      </c>
      <c r="L64" s="9" t="n">
        <f aca="false">VLOOKUP($B64,'All Employee Structures'!$A$2:$M1000,13,0)</f>
        <v>0</v>
      </c>
    </row>
    <row r="65" customFormat="false" ht="15.75" hidden="false" customHeight="false" outlineLevel="0" collapsed="false">
      <c r="A65" s="5" t="s">
        <v>1523</v>
      </c>
      <c r="B65" s="5" t="s">
        <v>1524</v>
      </c>
      <c r="C65" s="5" t="s">
        <v>287</v>
      </c>
      <c r="D65" s="5" t="s">
        <v>208</v>
      </c>
      <c r="E65" s="2"/>
      <c r="F65" s="2" t="str">
        <f aca="false">IF(OR(ISBLANK($K65),$K65=0,ISNA($K65)),"","YES")</f>
        <v/>
      </c>
      <c r="G65" s="9" t="n">
        <f aca="false">VLOOKUP($B65,'All Employee Structures'!$A$2:$M1000,9,0)</f>
        <v>240000</v>
      </c>
      <c r="H65" s="3" t="n">
        <f aca="false">I65*2</f>
        <v>636</v>
      </c>
      <c r="I65" s="9" t="n">
        <f aca="false">VLOOKUP($B65,'All Employee Structures'!$A$2:$M1000,10,0)</f>
        <v>318</v>
      </c>
      <c r="J65" s="9" t="n">
        <f aca="false">VLOOKUP($B65,'All Employee Structures'!$A$2:$M1000,11,0)</f>
        <v>0</v>
      </c>
      <c r="K65" s="9" t="n">
        <f aca="false">VLOOKUP($B65,'All Employee Structures'!$A$2:$M1000,12,0)</f>
        <v>0</v>
      </c>
      <c r="L65" s="9" t="n">
        <f aca="false">VLOOKUP($B65,'All Employee Structures'!$A$2:$M1000,13,0)</f>
        <v>0</v>
      </c>
    </row>
    <row r="66" customFormat="false" ht="15.75" hidden="false" customHeight="false" outlineLevel="0" collapsed="false">
      <c r="A66" s="5" t="s">
        <v>1525</v>
      </c>
      <c r="B66" s="5" t="s">
        <v>1526</v>
      </c>
      <c r="C66" s="5" t="s">
        <v>187</v>
      </c>
      <c r="D66" s="5" t="s">
        <v>208</v>
      </c>
      <c r="E66" s="2"/>
      <c r="F66" s="2" t="str">
        <f aca="false">IF(OR(ISBLANK($K66),$K66=0,ISNA($K66)),"","YES")</f>
        <v/>
      </c>
      <c r="G66" s="9" t="n">
        <f aca="false">VLOOKUP($B66,'All Employee Structures'!$A$2:$M1000,9,0)</f>
        <v>300000</v>
      </c>
      <c r="H66" s="3" t="n">
        <f aca="false">I66*2</f>
        <v>412</v>
      </c>
      <c r="I66" s="9" t="n">
        <f aca="false">VLOOKUP($B66,'All Employee Structures'!$A$2:$M1000,10,0)</f>
        <v>206</v>
      </c>
      <c r="J66" s="9" t="n">
        <f aca="false">VLOOKUP($B66,'All Employee Structures'!$A$2:$M1000,11,0)</f>
        <v>0</v>
      </c>
      <c r="K66" s="9" t="n">
        <f aca="false">VLOOKUP($B66,'All Employee Structures'!$A$2:$M1000,12,0)</f>
        <v>0</v>
      </c>
      <c r="L66" s="9" t="n">
        <f aca="false">VLOOKUP($B66,'All Employee Structures'!$A$2:$M1000,13,0)</f>
        <v>0</v>
      </c>
    </row>
    <row r="67" customFormat="false" ht="15.75" hidden="false" customHeight="false" outlineLevel="0" collapsed="false">
      <c r="A67" s="5" t="s">
        <v>1529</v>
      </c>
      <c r="B67" s="5" t="s">
        <v>1530</v>
      </c>
      <c r="C67" s="5" t="s">
        <v>187</v>
      </c>
      <c r="D67" s="5" t="s">
        <v>208</v>
      </c>
      <c r="E67" s="2"/>
      <c r="F67" s="2" t="str">
        <f aca="false">IF(OR(ISBLANK($K67),$K67=0,ISNA($K67)),"","YES")</f>
        <v/>
      </c>
      <c r="G67" s="9" t="n">
        <f aca="false">VLOOKUP($B67,'All Employee Structures'!$A$2:$M1000,9,0)</f>
        <v>180000</v>
      </c>
      <c r="H67" s="3" t="n">
        <f aca="false">I67*2</f>
        <v>0</v>
      </c>
      <c r="I67" s="9" t="n">
        <f aca="false">VLOOKUP($B67,'All Employee Structures'!$A$2:$M1000,10,0)</f>
        <v>0</v>
      </c>
      <c r="J67" s="9" t="n">
        <f aca="false">VLOOKUP($B67,'All Employee Structures'!$A$2:$M1000,11,0)</f>
        <v>0</v>
      </c>
      <c r="K67" s="9" t="n">
        <f aca="false">VLOOKUP($B67,'All Employee Structures'!$A$2:$M1000,12,0)</f>
        <v>0</v>
      </c>
      <c r="L67" s="9" t="n">
        <f aca="false">VLOOKUP($B67,'All Employee Structures'!$A$2:$M1000,13,0)</f>
        <v>0</v>
      </c>
    </row>
    <row r="68" customFormat="false" ht="15.75" hidden="false" customHeight="false" outlineLevel="0" collapsed="false">
      <c r="A68" s="5" t="s">
        <v>1533</v>
      </c>
      <c r="B68" s="5" t="s">
        <v>1534</v>
      </c>
      <c r="C68" s="5" t="s">
        <v>215</v>
      </c>
      <c r="D68" s="5" t="s">
        <v>208</v>
      </c>
      <c r="E68" s="2"/>
      <c r="F68" s="2" t="str">
        <f aca="false">IF(OR(ISBLANK($K68),$K68=0,ISNA($K68)),"","YES")</f>
        <v/>
      </c>
      <c r="G68" s="9" t="n">
        <f aca="false">VLOOKUP($B68,'All Employee Structures'!$A$2:$M1000,9,0)</f>
        <v>240000</v>
      </c>
      <c r="H68" s="3" t="n">
        <f aca="false">I68*2</f>
        <v>214</v>
      </c>
      <c r="I68" s="9" t="n">
        <f aca="false">VLOOKUP($B68,'All Employee Structures'!$A$2:$M1000,10,0)</f>
        <v>107</v>
      </c>
      <c r="J68" s="9" t="n">
        <f aca="false">VLOOKUP($B68,'All Employee Structures'!$A$2:$M1000,11,0)</f>
        <v>0</v>
      </c>
      <c r="K68" s="9" t="n">
        <f aca="false">VLOOKUP($B68,'All Employee Structures'!$A$2:$M1000,12,0)</f>
        <v>0</v>
      </c>
      <c r="L68" s="9" t="n">
        <f aca="false">VLOOKUP($B68,'All Employee Structures'!$A$2:$M1000,13,0)</f>
        <v>0</v>
      </c>
    </row>
    <row r="69" customFormat="false" ht="15.75" hidden="false" customHeight="false" outlineLevel="0" collapsed="false">
      <c r="A69" s="5" t="s">
        <v>1535</v>
      </c>
      <c r="B69" s="5" t="s">
        <v>1536</v>
      </c>
      <c r="C69" s="5" t="s">
        <v>187</v>
      </c>
      <c r="D69" s="5" t="s">
        <v>208</v>
      </c>
      <c r="E69" s="2"/>
      <c r="F69" s="2" t="str">
        <f aca="false">IF(OR(ISBLANK($K69),$K69=0,ISNA($K69)),"","YES")</f>
        <v/>
      </c>
      <c r="G69" s="9" t="n">
        <f aca="false">VLOOKUP($B69,'All Employee Structures'!$A$2:$M1000,9,0)</f>
        <v>192000</v>
      </c>
      <c r="H69" s="3" t="n">
        <f aca="false">I69*2</f>
        <v>538</v>
      </c>
      <c r="I69" s="9" t="n">
        <f aca="false">VLOOKUP($B69,'All Employee Structures'!$A$2:$M1000,10,0)</f>
        <v>269</v>
      </c>
      <c r="J69" s="9" t="n">
        <f aca="false">VLOOKUP($B69,'All Employee Structures'!$A$2:$M1000,11,0)</f>
        <v>0</v>
      </c>
      <c r="K69" s="9" t="n">
        <f aca="false">VLOOKUP($B69,'All Employee Structures'!$A$2:$M1000,12,0)</f>
        <v>0</v>
      </c>
      <c r="L69" s="9" t="n">
        <f aca="false">VLOOKUP($B69,'All Employee Structures'!$A$2:$M1000,13,0)</f>
        <v>0</v>
      </c>
    </row>
    <row r="70" customFormat="false" ht="15.75" hidden="false" customHeight="false" outlineLevel="0" collapsed="false">
      <c r="A70" s="5" t="s">
        <v>1577</v>
      </c>
      <c r="B70" s="5" t="s">
        <v>1578</v>
      </c>
      <c r="C70" s="5" t="s">
        <v>287</v>
      </c>
      <c r="D70" s="5" t="s">
        <v>208</v>
      </c>
      <c r="E70" s="2"/>
      <c r="F70" s="2" t="str">
        <f aca="false">IF(OR(ISBLANK($K70),$K70=0,ISNA($K70)),"","YES")</f>
        <v/>
      </c>
      <c r="G70" s="9" t="n">
        <f aca="false">VLOOKUP($B70,'All Employee Structures'!$A$2:$M1000,9,0)</f>
        <v>240000</v>
      </c>
      <c r="H70" s="3" t="n">
        <f aca="false">I70*2</f>
        <v>1052</v>
      </c>
      <c r="I70" s="9" t="n">
        <f aca="false">VLOOKUP($B70,'All Employee Structures'!$A$2:$M1000,10,0)</f>
        <v>526</v>
      </c>
      <c r="J70" s="9" t="n">
        <f aca="false">VLOOKUP($B70,'All Employee Structures'!$A$2:$M1000,11,0)</f>
        <v>0</v>
      </c>
      <c r="K70" s="9" t="n">
        <f aca="false">VLOOKUP($B70,'All Employee Structures'!$A$2:$M1000,12,0)</f>
        <v>0</v>
      </c>
      <c r="L70" s="9" t="n">
        <f aca="false">VLOOKUP($B70,'All Employee Structures'!$A$2:$M1000,13,0)</f>
        <v>0</v>
      </c>
    </row>
    <row r="71" customFormat="false" ht="15.75" hidden="false" customHeight="false" outlineLevel="0" collapsed="false">
      <c r="A71" s="5" t="s">
        <v>1579</v>
      </c>
      <c r="B71" s="5" t="s">
        <v>1580</v>
      </c>
      <c r="C71" s="5" t="s">
        <v>187</v>
      </c>
      <c r="D71" s="5" t="s">
        <v>208</v>
      </c>
      <c r="E71" s="2"/>
      <c r="F71" s="2" t="str">
        <f aca="false">IF(OR(ISBLANK($K71),$K71=0,ISNA($K71)),"","YES")</f>
        <v/>
      </c>
      <c r="G71" s="9" t="n">
        <f aca="false">VLOOKUP($B71,'All Employee Structures'!$A$2:$M1000,9,0)</f>
        <v>300000</v>
      </c>
      <c r="H71" s="3" t="n">
        <f aca="false">I71*2</f>
        <v>862</v>
      </c>
      <c r="I71" s="9" t="n">
        <f aca="false">VLOOKUP($B71,'All Employee Structures'!$A$2:$M1000,10,0)</f>
        <v>431</v>
      </c>
      <c r="J71" s="9" t="n">
        <f aca="false">VLOOKUP($B71,'All Employee Structures'!$A$2:$M1000,11,0)</f>
        <v>0</v>
      </c>
      <c r="K71" s="9" t="n">
        <f aca="false">VLOOKUP($B71,'All Employee Structures'!$A$2:$M1000,12,0)</f>
        <v>0</v>
      </c>
      <c r="L71" s="9" t="n">
        <f aca="false">VLOOKUP($B71,'All Employee Structures'!$A$2:$M1000,13,0)</f>
        <v>0</v>
      </c>
    </row>
    <row r="72" customFormat="false" ht="15.75" hidden="false" customHeight="false" outlineLevel="0" collapsed="false">
      <c r="A72" s="5" t="s">
        <v>1591</v>
      </c>
      <c r="B72" s="5" t="s">
        <v>1592</v>
      </c>
      <c r="C72" s="5" t="s">
        <v>187</v>
      </c>
      <c r="D72" s="5" t="s">
        <v>208</v>
      </c>
      <c r="E72" s="2"/>
      <c r="F72" s="2" t="str">
        <f aca="false">IF(OR(ISBLANK($K72),$K72=0,ISNA($K72)),"","YES")</f>
        <v/>
      </c>
      <c r="G72" s="9" t="n">
        <f aca="false">VLOOKUP($B72,'All Employee Structures'!$A$2:$M1000,9,0)</f>
        <v>300000</v>
      </c>
      <c r="H72" s="3" t="n">
        <f aca="false">I72*2</f>
        <v>0</v>
      </c>
      <c r="I72" s="9" t="n">
        <f aca="false">VLOOKUP($B72,'All Employee Structures'!$A$2:$M1000,10,0)</f>
        <v>0</v>
      </c>
      <c r="J72" s="9" t="n">
        <f aca="false">VLOOKUP($B72,'All Employee Structures'!$A$2:$M1000,11,0)</f>
        <v>0</v>
      </c>
      <c r="K72" s="9" t="n">
        <f aca="false">VLOOKUP($B72,'All Employee Structures'!$A$2:$M1000,12,0)</f>
        <v>0</v>
      </c>
      <c r="L72" s="9" t="n">
        <f aca="false">VLOOKUP($B72,'All Employee Structures'!$A$2:$M1000,13,0)</f>
        <v>0</v>
      </c>
    </row>
    <row r="73" customFormat="false" ht="15.75" hidden="false" customHeight="false" outlineLevel="0" collapsed="false">
      <c r="A73" s="5" t="s">
        <v>1617</v>
      </c>
      <c r="B73" s="5" t="s">
        <v>1618</v>
      </c>
      <c r="C73" s="5" t="s">
        <v>187</v>
      </c>
      <c r="D73" s="5" t="s">
        <v>208</v>
      </c>
      <c r="E73" s="2"/>
      <c r="F73" s="2" t="str">
        <f aca="false">IF(OR(ISBLANK($K73),$K73=0,ISNA($K73)),"","YES")</f>
        <v/>
      </c>
      <c r="G73" s="9" t="n">
        <f aca="false">VLOOKUP($B73,'All Employee Structures'!$A$2:$M1000,9,0)</f>
        <v>192000</v>
      </c>
      <c r="H73" s="3" t="n">
        <f aca="false">I73*2</f>
        <v>686</v>
      </c>
      <c r="I73" s="9" t="n">
        <f aca="false">VLOOKUP($B73,'All Employee Structures'!$A$2:$M1000,10,0)</f>
        <v>343</v>
      </c>
      <c r="J73" s="9" t="n">
        <f aca="false">VLOOKUP($B73,'All Employee Structures'!$A$2:$M1000,11,0)</f>
        <v>0</v>
      </c>
      <c r="K73" s="9" t="n">
        <f aca="false">VLOOKUP($B73,'All Employee Structures'!$A$2:$M1000,12,0)</f>
        <v>0</v>
      </c>
      <c r="L73" s="9" t="n">
        <f aca="false">VLOOKUP($B73,'All Employee Structures'!$A$2:$M1000,13,0)</f>
        <v>0</v>
      </c>
    </row>
    <row r="74" customFormat="false" ht="15.75" hidden="false" customHeight="false" outlineLevel="0" collapsed="false">
      <c r="A74" s="5" t="s">
        <v>1621</v>
      </c>
      <c r="B74" s="5" t="s">
        <v>1622</v>
      </c>
      <c r="C74" s="5" t="s">
        <v>187</v>
      </c>
      <c r="D74" s="5" t="s">
        <v>208</v>
      </c>
      <c r="E74" s="2"/>
      <c r="F74" s="2" t="str">
        <f aca="false">IF(OR(ISBLANK($K74),$K74=0,ISNA($K74)),"","YES")</f>
        <v/>
      </c>
      <c r="G74" s="9" t="n">
        <f aca="false">VLOOKUP($B74,'All Employee Structures'!$A$2:$M1000,9,0)</f>
        <v>360000</v>
      </c>
      <c r="H74" s="3" t="n">
        <f aca="false">I74*2</f>
        <v>200</v>
      </c>
      <c r="I74" s="9" t="n">
        <f aca="false">VLOOKUP($B74,'All Employee Structures'!$A$2:$M1000,10,0)</f>
        <v>100</v>
      </c>
      <c r="J74" s="9" t="n">
        <f aca="false">VLOOKUP($B74,'All Employee Structures'!$A$2:$M1000,11,0)</f>
        <v>0</v>
      </c>
      <c r="K74" s="9" t="n">
        <f aca="false">VLOOKUP($B74,'All Employee Structures'!$A$2:$M1000,12,0)</f>
        <v>0</v>
      </c>
      <c r="L74" s="9" t="n">
        <f aca="false">VLOOKUP($B74,'All Employee Structures'!$A$2:$M1000,13,0)</f>
        <v>0</v>
      </c>
    </row>
    <row r="75" customFormat="false" ht="15.75" hidden="false" customHeight="false" outlineLevel="0" collapsed="false">
      <c r="A75" s="5" t="s">
        <v>1657</v>
      </c>
      <c r="B75" s="5" t="s">
        <v>1658</v>
      </c>
      <c r="C75" s="5" t="s">
        <v>187</v>
      </c>
      <c r="D75" s="5" t="s">
        <v>208</v>
      </c>
      <c r="E75" s="2"/>
      <c r="F75" s="2" t="str">
        <f aca="false">IF(OR(ISBLANK($K75),$K75=0,ISNA($K75)),"","YES")</f>
        <v/>
      </c>
      <c r="G75" s="9" t="n">
        <f aca="false">VLOOKUP($B75,'All Employee Structures'!$A$2:$M1000,9,0)</f>
        <v>300000</v>
      </c>
      <c r="H75" s="3" t="n">
        <f aca="false">I75*2</f>
        <v>200</v>
      </c>
      <c r="I75" s="9" t="n">
        <f aca="false">VLOOKUP($B75,'All Employee Structures'!$A$2:$M1000,10,0)</f>
        <v>100</v>
      </c>
      <c r="J75" s="9" t="n">
        <f aca="false">VLOOKUP($B75,'All Employee Structures'!$A$2:$M1000,11,0)</f>
        <v>0</v>
      </c>
      <c r="K75" s="9" t="n">
        <f aca="false">VLOOKUP($B75,'All Employee Structures'!$A$2:$M1000,12,0)</f>
        <v>0</v>
      </c>
      <c r="L75" s="9" t="n">
        <f aca="false">VLOOKUP($B75,'All Employee Structures'!$A$2:$M1000,13,0)</f>
        <v>0</v>
      </c>
    </row>
    <row r="76" customFormat="false" ht="15.75" hidden="false" customHeight="false" outlineLevel="0" collapsed="false">
      <c r="A76" s="5" t="s">
        <v>1659</v>
      </c>
      <c r="B76" s="5" t="s">
        <v>1660</v>
      </c>
      <c r="C76" s="5" t="s">
        <v>187</v>
      </c>
      <c r="D76" s="5" t="s">
        <v>208</v>
      </c>
      <c r="E76" s="2"/>
      <c r="F76" s="2" t="str">
        <f aca="false">IF(OR(ISBLANK($K76),$K76=0,ISNA($K76)),"","YES")</f>
        <v/>
      </c>
      <c r="G76" s="9" t="n">
        <f aca="false">VLOOKUP($B76,'All Employee Structures'!$A$2:$M1000,9,0)</f>
        <v>180000</v>
      </c>
      <c r="H76" s="3" t="n">
        <f aca="false">I76*2</f>
        <v>0</v>
      </c>
      <c r="I76" s="9" t="n">
        <f aca="false">VLOOKUP($B76,'All Employee Structures'!$A$2:$M1000,10,0)</f>
        <v>0</v>
      </c>
      <c r="J76" s="9" t="n">
        <f aca="false">VLOOKUP($B76,'All Employee Structures'!$A$2:$M1000,11,0)</f>
        <v>0</v>
      </c>
      <c r="K76" s="9" t="n">
        <f aca="false">VLOOKUP($B76,'All Employee Structures'!$A$2:$M1000,12,0)</f>
        <v>0</v>
      </c>
      <c r="L76" s="9" t="n">
        <f aca="false">VLOOKUP($B76,'All Employee Structures'!$A$2:$M1000,13,0)</f>
        <v>0</v>
      </c>
    </row>
    <row r="77" customFormat="false" ht="15.75" hidden="false" customHeight="false" outlineLevel="0" collapsed="false">
      <c r="A77" s="5" t="s">
        <v>1671</v>
      </c>
      <c r="B77" s="5" t="s">
        <v>1672</v>
      </c>
      <c r="C77" s="5" t="s">
        <v>287</v>
      </c>
      <c r="D77" s="5" t="s">
        <v>208</v>
      </c>
      <c r="E77" s="2"/>
      <c r="F77" s="2" t="str">
        <f aca="false">IF(OR(ISBLANK($K77),$K77=0,ISNA($K77)),"","YES")</f>
        <v/>
      </c>
      <c r="G77" s="9" t="n">
        <f aca="false">VLOOKUP($B77,'All Employee Structures'!$A$2:$M1000,9,0)</f>
        <v>240000</v>
      </c>
      <c r="H77" s="3" t="n">
        <f aca="false">I77*2</f>
        <v>674</v>
      </c>
      <c r="I77" s="9" t="n">
        <f aca="false">VLOOKUP($B77,'All Employee Structures'!$A$2:$M1000,10,0)</f>
        <v>337</v>
      </c>
      <c r="J77" s="9" t="n">
        <f aca="false">VLOOKUP($B77,'All Employee Structures'!$A$2:$M1000,11,0)</f>
        <v>0</v>
      </c>
      <c r="K77" s="9" t="n">
        <f aca="false">VLOOKUP($B77,'All Employee Structures'!$A$2:$M1000,12,0)</f>
        <v>0</v>
      </c>
      <c r="L77" s="9" t="n">
        <f aca="false">VLOOKUP($B77,'All Employee Structures'!$A$2:$M1000,13,0)</f>
        <v>0</v>
      </c>
    </row>
    <row r="78" customFormat="false" ht="15.75" hidden="false" customHeight="false" outlineLevel="0" collapsed="false">
      <c r="A78" s="5" t="s">
        <v>1687</v>
      </c>
      <c r="B78" s="5" t="s">
        <v>1688</v>
      </c>
      <c r="C78" s="5" t="s">
        <v>187</v>
      </c>
      <c r="D78" s="5" t="s">
        <v>208</v>
      </c>
      <c r="E78" s="2"/>
      <c r="F78" s="2" t="str">
        <f aca="false">IF(OR(ISBLANK($K78),$K78=0,ISNA($K78)),"","YES")</f>
        <v/>
      </c>
      <c r="G78" s="9" t="n">
        <f aca="false">VLOOKUP($B78,'All Employee Structures'!$A$2:$M1000,9,0)</f>
        <v>180000</v>
      </c>
      <c r="H78" s="3" t="n">
        <f aca="false">I78*2</f>
        <v>104</v>
      </c>
      <c r="I78" s="9" t="n">
        <f aca="false">VLOOKUP($B78,'All Employee Structures'!$A$2:$M1000,10,0)</f>
        <v>52</v>
      </c>
      <c r="J78" s="9" t="n">
        <f aca="false">VLOOKUP($B78,'All Employee Structures'!$A$2:$M1000,11,0)</f>
        <v>0</v>
      </c>
      <c r="K78" s="9" t="n">
        <f aca="false">VLOOKUP($B78,'All Employee Structures'!$A$2:$M1000,12,0)</f>
        <v>0</v>
      </c>
      <c r="L78" s="9" t="n">
        <f aca="false">VLOOKUP($B78,'All Employee Structures'!$A$2:$M1000,13,0)</f>
        <v>0</v>
      </c>
    </row>
    <row r="79" customFormat="false" ht="15.75" hidden="false" customHeight="false" outlineLevel="0" collapsed="false">
      <c r="A79" s="5" t="s">
        <v>1695</v>
      </c>
      <c r="B79" s="5" t="s">
        <v>1696</v>
      </c>
      <c r="C79" s="5" t="s">
        <v>187</v>
      </c>
      <c r="D79" s="5" t="s">
        <v>208</v>
      </c>
      <c r="E79" s="5" t="s">
        <v>1778</v>
      </c>
      <c r="F79" s="2" t="str">
        <f aca="false">IF(OR(ISBLANK($K79),$K79=0,ISNA($K79)),"","YES")</f>
        <v>YES</v>
      </c>
      <c r="G79" s="9" t="n">
        <f aca="false">VLOOKUP($B79,'All Employee Structures'!$A$2:$M1000,9,0)</f>
        <v>96000</v>
      </c>
      <c r="H79" s="3" t="n">
        <f aca="false">I79*2</f>
        <v>136</v>
      </c>
      <c r="I79" s="9" t="n">
        <f aca="false">VLOOKUP($B79,'All Employee Structures'!$A$2:$M1000,10,0)</f>
        <v>68</v>
      </c>
      <c r="J79" s="9" t="n">
        <f aca="false">VLOOKUP($B79,'All Employee Structures'!$A$2:$M1000,11,0)</f>
        <v>0</v>
      </c>
      <c r="K79" s="9" t="n">
        <f aca="false">VLOOKUP($B79,'All Employee Structures'!$A$2:$M1000,12,0)</f>
        <v>250</v>
      </c>
      <c r="L79" s="9" t="n">
        <f aca="false">VLOOKUP($B79,'All Employee Structures'!$A$2:$M1000,13,0)</f>
        <v>0</v>
      </c>
    </row>
    <row r="80" customFormat="false" ht="15.75" hidden="false" customHeight="false" outlineLevel="0" collapsed="false">
      <c r="A80" s="5" t="s">
        <v>1697</v>
      </c>
      <c r="B80" s="5" t="s">
        <v>1698</v>
      </c>
      <c r="C80" s="5" t="s">
        <v>287</v>
      </c>
      <c r="D80" s="5" t="s">
        <v>208</v>
      </c>
      <c r="E80" s="2"/>
      <c r="F80" s="2" t="str">
        <f aca="false">IF(OR(ISBLANK($K80),$K80=0,ISNA($K80)),"","YES")</f>
        <v/>
      </c>
      <c r="G80" s="9" t="n">
        <f aca="false">VLOOKUP($B80,'All Employee Structures'!$A$2:$M1000,9,0)</f>
        <v>240000</v>
      </c>
      <c r="H80" s="3" t="n">
        <f aca="false">I80*2</f>
        <v>156</v>
      </c>
      <c r="I80" s="9" t="n">
        <f aca="false">VLOOKUP($B80,'All Employee Structures'!$A$2:$M1000,10,0)</f>
        <v>78</v>
      </c>
      <c r="J80" s="9" t="n">
        <f aca="false">VLOOKUP($B80,'All Employee Structures'!$A$2:$M1000,11,0)</f>
        <v>0</v>
      </c>
      <c r="K80" s="9" t="n">
        <f aca="false">VLOOKUP($B80,'All Employee Structures'!$A$2:$M1000,12,0)</f>
        <v>0</v>
      </c>
      <c r="L80" s="9" t="n">
        <f aca="false">VLOOKUP($B80,'All Employee Structures'!$A$2:$M1000,13,0)</f>
        <v>0</v>
      </c>
    </row>
    <row r="81" customFormat="false" ht="15.75" hidden="false" customHeight="false" outlineLevel="0" collapsed="false">
      <c r="A81" s="5" t="s">
        <v>1701</v>
      </c>
      <c r="B81" s="5" t="s">
        <v>1702</v>
      </c>
      <c r="C81" s="5" t="s">
        <v>287</v>
      </c>
      <c r="D81" s="5" t="s">
        <v>208</v>
      </c>
      <c r="E81" s="2"/>
      <c r="F81" s="2" t="str">
        <f aca="false">IF(OR(ISBLANK($K81),$K81=0,ISNA($K81)),"","YES")</f>
        <v/>
      </c>
      <c r="G81" s="9" t="n">
        <f aca="false">VLOOKUP($B81,'All Employee Structures'!$A$2:$M1000,9,0)</f>
        <v>240000</v>
      </c>
      <c r="H81" s="3" t="n">
        <f aca="false">I81*2</f>
        <v>1008</v>
      </c>
      <c r="I81" s="9" t="n">
        <f aca="false">VLOOKUP($B81,'All Employee Structures'!$A$2:$M1000,10,0)</f>
        <v>504</v>
      </c>
      <c r="J81" s="9" t="n">
        <f aca="false">VLOOKUP($B81,'All Employee Structures'!$A$2:$M1000,11,0)</f>
        <v>0</v>
      </c>
      <c r="K81" s="9" t="n">
        <f aca="false">VLOOKUP($B81,'All Employee Structures'!$A$2:$M1000,12,0)</f>
        <v>0</v>
      </c>
      <c r="L81" s="9" t="n">
        <f aca="false">VLOOKUP($B81,'All Employee Structures'!$A$2:$M1000,13,0)</f>
        <v>0</v>
      </c>
    </row>
    <row r="82" customFormat="false" ht="15.75" hidden="false" customHeight="false" outlineLevel="0" collapsed="false">
      <c r="A82" s="7" t="s">
        <v>1709</v>
      </c>
      <c r="B82" s="7" t="s">
        <v>1710</v>
      </c>
      <c r="C82" s="7" t="s">
        <v>187</v>
      </c>
      <c r="D82" s="7" t="s">
        <v>208</v>
      </c>
      <c r="E82" s="8"/>
      <c r="F82" s="8" t="e">
        <f aca="false">IF(OR(ISBLANK($K82),$K82=0,ISNA($K82)),"","YES")</f>
        <v>#VALUE!</v>
      </c>
      <c r="G82" s="8" t="e">
        <f aca="false">VLOOKUP($B82,'All Employee Structures'!$A$2:$M1000,9,0)</f>
        <v>#N/A</v>
      </c>
      <c r="H82" s="3" t="e">
        <f aca="false">I82*2</f>
        <v>#N/A</v>
      </c>
      <c r="I82" s="8" t="e">
        <f aca="false">VLOOKUP($B82,'All Employee Structures'!$A$2:$M1000,10,0)</f>
        <v>#N/A</v>
      </c>
      <c r="J82" s="8" t="e">
        <f aca="false">VLOOKUP($B82,'All Employee Structures'!$A$2:$M1000,11,0)</f>
        <v>#N/A</v>
      </c>
      <c r="K82" s="8" t="e">
        <f aca="false">VLOOKUP($B82,'All Employee Structures'!$A$2:$M1000,12,0)</f>
        <v>#N/A</v>
      </c>
      <c r="L82" s="8" t="e">
        <f aca="false">VLOOKUP($B82,'All Employee Structures'!$A$2:$M1000,13,0)</f>
        <v>#N/A</v>
      </c>
    </row>
    <row r="83" customFormat="false" ht="15.75" hidden="false" customHeight="false" outlineLevel="0" collapsed="false">
      <c r="A83" s="5" t="s">
        <v>1715</v>
      </c>
      <c r="B83" s="5" t="s">
        <v>1716</v>
      </c>
      <c r="C83" s="5" t="s">
        <v>187</v>
      </c>
      <c r="D83" s="5" t="s">
        <v>208</v>
      </c>
      <c r="E83" s="2"/>
      <c r="F83" s="2" t="str">
        <f aca="false">IF(OR(ISBLANK($K83),$K83=0,ISNA($K83)),"","YES")</f>
        <v/>
      </c>
      <c r="G83" s="9" t="n">
        <f aca="false">VLOOKUP($B83,'All Employee Structures'!$A$2:$M1000,9,0)</f>
        <v>300000</v>
      </c>
      <c r="H83" s="3" t="n">
        <f aca="false">I83*2</f>
        <v>0</v>
      </c>
      <c r="I83" s="9" t="n">
        <f aca="false">VLOOKUP($B83,'All Employee Structures'!$A$2:$M1000,10,0)</f>
        <v>0</v>
      </c>
      <c r="J83" s="9" t="n">
        <f aca="false">VLOOKUP($B83,'All Employee Structures'!$A$2:$M1000,11,0)</f>
        <v>0</v>
      </c>
      <c r="K83" s="9" t="n">
        <f aca="false">VLOOKUP($B83,'All Employee Structures'!$A$2:$M1000,12,0)</f>
        <v>0</v>
      </c>
      <c r="L83" s="9" t="n">
        <f aca="false">VLOOKUP($B83,'All Employee Structures'!$A$2:$M1000,13,0)</f>
        <v>0</v>
      </c>
    </row>
    <row r="84" customFormat="false" ht="15.75" hidden="false" customHeight="false" outlineLevel="0" collapsed="false">
      <c r="A84" s="5" t="s">
        <v>1717</v>
      </c>
      <c r="B84" s="5" t="s">
        <v>1718</v>
      </c>
      <c r="C84" s="5" t="s">
        <v>191</v>
      </c>
      <c r="D84" s="5" t="s">
        <v>208</v>
      </c>
      <c r="E84" s="2"/>
      <c r="F84" s="2" t="str">
        <f aca="false">IF(OR(ISBLANK($K84),$K84=0,ISNA($K84)),"","YES")</f>
        <v/>
      </c>
      <c r="G84" s="9" t="n">
        <f aca="false">VLOOKUP($B84,'All Employee Structures'!$A$2:$M1000,9,0)</f>
        <v>120000</v>
      </c>
      <c r="H84" s="3" t="n">
        <f aca="false">I84*2</f>
        <v>142</v>
      </c>
      <c r="I84" s="9" t="n">
        <f aca="false">VLOOKUP($B84,'All Employee Structures'!$A$2:$M1000,10,0)</f>
        <v>71</v>
      </c>
      <c r="J84" s="9" t="n">
        <f aca="false">VLOOKUP($B84,'All Employee Structures'!$A$2:$M1000,11,0)</f>
        <v>0</v>
      </c>
      <c r="K84" s="9" t="n">
        <f aca="false">VLOOKUP($B84,'All Employee Structures'!$A$2:$M1000,12,0)</f>
        <v>0</v>
      </c>
      <c r="L84" s="9" t="n">
        <f aca="false">VLOOKUP($B84,'All Employee Structures'!$A$2:$M1000,13,0)</f>
        <v>0</v>
      </c>
    </row>
    <row r="85" customFormat="false" ht="15.75" hidden="false" customHeight="false" outlineLevel="0" collapsed="false">
      <c r="A85" s="5" t="s">
        <v>1719</v>
      </c>
      <c r="B85" s="5" t="s">
        <v>1720</v>
      </c>
      <c r="C85" s="5" t="s">
        <v>187</v>
      </c>
      <c r="D85" s="5" t="s">
        <v>208</v>
      </c>
      <c r="E85" s="2"/>
      <c r="F85" s="2" t="str">
        <f aca="false">IF(OR(ISBLANK($K85),$K85=0,ISNA($K85)),"","YES")</f>
        <v/>
      </c>
      <c r="G85" s="9" t="n">
        <f aca="false">VLOOKUP($B85,'All Employee Structures'!$A$2:$M1000,9,0)</f>
        <v>217836</v>
      </c>
      <c r="H85" s="3" t="n">
        <f aca="false">I85*2</f>
        <v>132</v>
      </c>
      <c r="I85" s="9" t="n">
        <f aca="false">VLOOKUP($B85,'All Employee Structures'!$A$2:$M1000,10,0)</f>
        <v>66</v>
      </c>
      <c r="J85" s="9" t="n">
        <f aca="false">VLOOKUP($B85,'All Employee Structures'!$A$2:$M1000,11,0)</f>
        <v>0</v>
      </c>
      <c r="K85" s="9" t="n">
        <f aca="false">VLOOKUP($B85,'All Employee Structures'!$A$2:$M1000,12,0)</f>
        <v>0</v>
      </c>
      <c r="L85" s="9" t="n">
        <f aca="false">VLOOKUP($B85,'All Employee Structures'!$A$2:$M1000,13,0)</f>
        <v>0</v>
      </c>
    </row>
    <row r="86" customFormat="false" ht="15.75" hidden="false" customHeight="false" outlineLevel="0" collapsed="false">
      <c r="A86" s="5" t="s">
        <v>1729</v>
      </c>
      <c r="B86" s="5" t="s">
        <v>1730</v>
      </c>
      <c r="C86" s="5" t="s">
        <v>187</v>
      </c>
      <c r="D86" s="5" t="s">
        <v>208</v>
      </c>
      <c r="E86" s="2"/>
      <c r="F86" s="2" t="str">
        <f aca="false">IF(OR(ISBLANK($K86),$K86=0,ISNA($K86)),"","YES")</f>
        <v/>
      </c>
      <c r="G86" s="9" t="n">
        <f aca="false">VLOOKUP($B86,'All Employee Structures'!$A$2:$M1000,9,0)</f>
        <v>298860</v>
      </c>
      <c r="H86" s="3" t="n">
        <f aca="false">I86*2</f>
        <v>190</v>
      </c>
      <c r="I86" s="9" t="n">
        <f aca="false">VLOOKUP($B86,'All Employee Structures'!$A$2:$M1000,10,0)</f>
        <v>95</v>
      </c>
      <c r="J86" s="9" t="n">
        <f aca="false">VLOOKUP($B86,'All Employee Structures'!$A$2:$M1000,11,0)</f>
        <v>0</v>
      </c>
      <c r="K86" s="9" t="n">
        <f aca="false">VLOOKUP($B86,'All Employee Structures'!$A$2:$M1000,12,0)</f>
        <v>0</v>
      </c>
      <c r="L86" s="9" t="n">
        <f aca="false">VLOOKUP($B86,'All Employee Structures'!$A$2:$M1000,13,0)</f>
        <v>0</v>
      </c>
    </row>
    <row r="87" customFormat="false" ht="15.75" hidden="false" customHeight="false" outlineLevel="0" collapsed="false">
      <c r="A87" s="5" t="s">
        <v>1749</v>
      </c>
      <c r="B87" s="5" t="s">
        <v>1750</v>
      </c>
      <c r="C87" s="5" t="s">
        <v>187</v>
      </c>
      <c r="D87" s="5" t="s">
        <v>208</v>
      </c>
      <c r="E87" s="2"/>
      <c r="F87" s="2" t="str">
        <f aca="false">IF(OR(ISBLANK($K87),$K87=0,ISNA($K87)),"","YES")</f>
        <v/>
      </c>
      <c r="G87" s="9" t="n">
        <f aca="false">VLOOKUP($B87,'All Employee Structures'!$A$2:$M1000,9,0)</f>
        <v>300000</v>
      </c>
      <c r="H87" s="3" t="n">
        <f aca="false">I87*2</f>
        <v>426</v>
      </c>
      <c r="I87" s="9" t="n">
        <f aca="false">VLOOKUP($B87,'All Employee Structures'!$A$2:$M1000,10,0)</f>
        <v>213</v>
      </c>
      <c r="J87" s="9" t="n">
        <f aca="false">VLOOKUP($B87,'All Employee Structures'!$A$2:$M1000,11,0)</f>
        <v>0</v>
      </c>
      <c r="K87" s="9" t="n">
        <f aca="false">VLOOKUP($B87,'All Employee Structures'!$A$2:$M1000,12,0)</f>
        <v>0</v>
      </c>
      <c r="L87" s="9" t="n">
        <f aca="false">VLOOKUP($B87,'All Employee Structures'!$A$2:$M1000,13,0)</f>
        <v>0</v>
      </c>
    </row>
  </sheetData>
  <autoFilter ref="A1:AA87"/>
  <conditionalFormatting sqref="A87:L87">
    <cfRule type="expression" priority="2" aboveAverage="0" equalAverage="0" bottom="0" percent="0" rank="0" text="" dxfId="0">
      <formula>$F87="YES"</formula>
    </cfRule>
  </conditionalFormatting>
  <conditionalFormatting sqref="A86:L86">
    <cfRule type="expression" priority="3" aboveAverage="0" equalAverage="0" bottom="0" percent="0" rank="0" text="" dxfId="0">
      <formula>$F86="YES"</formula>
    </cfRule>
  </conditionalFormatting>
  <conditionalFormatting sqref="A83:L85">
    <cfRule type="expression" priority="4" aboveAverage="0" equalAverage="0" bottom="0" percent="0" rank="0" text="" dxfId="0">
      <formula>$F83="YES"</formula>
    </cfRule>
  </conditionalFormatting>
  <conditionalFormatting sqref="A82:L82">
    <cfRule type="expression" priority="5" aboveAverage="0" equalAverage="0" bottom="0" percent="0" rank="0" text="" dxfId="0">
      <formula>$F82="YES"</formula>
    </cfRule>
  </conditionalFormatting>
  <conditionalFormatting sqref="A81:L81">
    <cfRule type="expression" priority="6" aboveAverage="0" equalAverage="0" bottom="0" percent="0" rank="0" text="" dxfId="0">
      <formula>$F81="YES"</formula>
    </cfRule>
  </conditionalFormatting>
  <conditionalFormatting sqref="A79:L80">
    <cfRule type="expression" priority="7" aboveAverage="0" equalAverage="0" bottom="0" percent="0" rank="0" text="" dxfId="0">
      <formula>$F79="YES"</formula>
    </cfRule>
  </conditionalFormatting>
  <conditionalFormatting sqref="A78:L78">
    <cfRule type="expression" priority="8" aboveAverage="0" equalAverage="0" bottom="0" percent="0" rank="0" text="" dxfId="0">
      <formula>$F78="YES"</formula>
    </cfRule>
  </conditionalFormatting>
  <conditionalFormatting sqref="A77:L77">
    <cfRule type="expression" priority="9" aboveAverage="0" equalAverage="0" bottom="0" percent="0" rank="0" text="" dxfId="0">
      <formula>$F77="YES"</formula>
    </cfRule>
  </conditionalFormatting>
  <conditionalFormatting sqref="A75:L76">
    <cfRule type="expression" priority="10" aboveAverage="0" equalAverage="0" bottom="0" percent="0" rank="0" text="" dxfId="0">
      <formula>$F75="YES"</formula>
    </cfRule>
  </conditionalFormatting>
  <conditionalFormatting sqref="A74:L74">
    <cfRule type="expression" priority="11" aboveAverage="0" equalAverage="0" bottom="0" percent="0" rank="0" text="" dxfId="0">
      <formula>$F74="YES"</formula>
    </cfRule>
  </conditionalFormatting>
  <conditionalFormatting sqref="A73:L73">
    <cfRule type="expression" priority="12" aboveAverage="0" equalAverage="0" bottom="0" percent="0" rank="0" text="" dxfId="0">
      <formula>$F73="YES"</formula>
    </cfRule>
  </conditionalFormatting>
  <conditionalFormatting sqref="A72:L72">
    <cfRule type="expression" priority="13" aboveAverage="0" equalAverage="0" bottom="0" percent="0" rank="0" text="" dxfId="0">
      <formula>$F72="YES"</formula>
    </cfRule>
  </conditionalFormatting>
  <conditionalFormatting sqref="A70:L71">
    <cfRule type="expression" priority="14" aboveAverage="0" equalAverage="0" bottom="0" percent="0" rank="0" text="" dxfId="0">
      <formula>$F70="YES"</formula>
    </cfRule>
  </conditionalFormatting>
  <conditionalFormatting sqref="A68:L69">
    <cfRule type="expression" priority="15" aboveAverage="0" equalAverage="0" bottom="0" percent="0" rank="0" text="" dxfId="0">
      <formula>$F68="YES"</formula>
    </cfRule>
  </conditionalFormatting>
  <conditionalFormatting sqref="A67:L67">
    <cfRule type="expression" priority="16" aboveAverage="0" equalAverage="0" bottom="0" percent="0" rank="0" text="" dxfId="0">
      <formula>$F67="YES"</formula>
    </cfRule>
  </conditionalFormatting>
  <conditionalFormatting sqref="A65:L66">
    <cfRule type="expression" priority="17" aboveAverage="0" equalAverage="0" bottom="0" percent="0" rank="0" text="" dxfId="0">
      <formula>$F65="YES"</formula>
    </cfRule>
  </conditionalFormatting>
  <conditionalFormatting sqref="A64:L64">
    <cfRule type="expression" priority="18" aboveAverage="0" equalAverage="0" bottom="0" percent="0" rank="0" text="" dxfId="0">
      <formula>$F64="YES"</formula>
    </cfRule>
  </conditionalFormatting>
  <conditionalFormatting sqref="A63:L63">
    <cfRule type="expression" priority="19" aboveAverage="0" equalAverage="0" bottom="0" percent="0" rank="0" text="" dxfId="0">
      <formula>$F63="YES"</formula>
    </cfRule>
  </conditionalFormatting>
  <conditionalFormatting sqref="A60:L62">
    <cfRule type="expression" priority="20" aboveAverage="0" equalAverage="0" bottom="0" percent="0" rank="0" text="" dxfId="0">
      <formula>$F60="YES"</formula>
    </cfRule>
  </conditionalFormatting>
  <conditionalFormatting sqref="A59:L59">
    <cfRule type="expression" priority="21" aboveAverage="0" equalAverage="0" bottom="0" percent="0" rank="0" text="" dxfId="0">
      <formula>$F59="YES"</formula>
    </cfRule>
  </conditionalFormatting>
  <conditionalFormatting sqref="A58:L58">
    <cfRule type="expression" priority="22" aboveAverage="0" equalAverage="0" bottom="0" percent="0" rank="0" text="" dxfId="0">
      <formula>$F58="YES"</formula>
    </cfRule>
  </conditionalFormatting>
  <conditionalFormatting sqref="A57:L57">
    <cfRule type="expression" priority="23" aboveAverage="0" equalAverage="0" bottom="0" percent="0" rank="0" text="" dxfId="0">
      <formula>$F57="YES"</formula>
    </cfRule>
  </conditionalFormatting>
  <conditionalFormatting sqref="A56:L56">
    <cfRule type="expression" priority="24" aboveAverage="0" equalAverage="0" bottom="0" percent="0" rank="0" text="" dxfId="0">
      <formula>$F56="YES"</formula>
    </cfRule>
  </conditionalFormatting>
  <conditionalFormatting sqref="A55:L55">
    <cfRule type="expression" priority="25" aboveAverage="0" equalAverage="0" bottom="0" percent="0" rank="0" text="" dxfId="0">
      <formula>$F55="YES"</formula>
    </cfRule>
  </conditionalFormatting>
  <conditionalFormatting sqref="A54:L54">
    <cfRule type="expression" priority="26" aboveAverage="0" equalAverage="0" bottom="0" percent="0" rank="0" text="" dxfId="0">
      <formula>$F54="YES"</formula>
    </cfRule>
  </conditionalFormatting>
  <conditionalFormatting sqref="A53:L53">
    <cfRule type="expression" priority="27" aboveAverage="0" equalAverage="0" bottom="0" percent="0" rank="0" text="" dxfId="0">
      <formula>$F53="YES"</formula>
    </cfRule>
  </conditionalFormatting>
  <conditionalFormatting sqref="A52:L52">
    <cfRule type="expression" priority="28" aboveAverage="0" equalAverage="0" bottom="0" percent="0" rank="0" text="" dxfId="0">
      <formula>$F52="YES"</formula>
    </cfRule>
  </conditionalFormatting>
  <conditionalFormatting sqref="A51:L51">
    <cfRule type="expression" priority="29" aboveAverage="0" equalAverage="0" bottom="0" percent="0" rank="0" text="" dxfId="0">
      <formula>$F51="YES"</formula>
    </cfRule>
  </conditionalFormatting>
  <conditionalFormatting sqref="A50:L50">
    <cfRule type="expression" priority="30" aboveAverage="0" equalAverage="0" bottom="0" percent="0" rank="0" text="" dxfId="0">
      <formula>$F50="YES"</formula>
    </cfRule>
  </conditionalFormatting>
  <conditionalFormatting sqref="A49:L49">
    <cfRule type="expression" priority="31" aboveAverage="0" equalAverage="0" bottom="0" percent="0" rank="0" text="" dxfId="0">
      <formula>$F49="YES"</formula>
    </cfRule>
  </conditionalFormatting>
  <conditionalFormatting sqref="A48:L48">
    <cfRule type="expression" priority="32" aboveAverage="0" equalAverage="0" bottom="0" percent="0" rank="0" text="" dxfId="0">
      <formula>$F48="YES"</formula>
    </cfRule>
  </conditionalFormatting>
  <conditionalFormatting sqref="A47:L47">
    <cfRule type="expression" priority="33" aboveAverage="0" equalAverage="0" bottom="0" percent="0" rank="0" text="" dxfId="0">
      <formula>$F47="YES"</formula>
    </cfRule>
  </conditionalFormatting>
  <conditionalFormatting sqref="A46:L46">
    <cfRule type="expression" priority="34" aboveAverage="0" equalAverage="0" bottom="0" percent="0" rank="0" text="" dxfId="0">
      <formula>$F46="YES"</formula>
    </cfRule>
  </conditionalFormatting>
  <conditionalFormatting sqref="A45:L45">
    <cfRule type="expression" priority="35" aboveAverage="0" equalAverage="0" bottom="0" percent="0" rank="0" text="" dxfId="0">
      <formula>$F45="YES"</formula>
    </cfRule>
  </conditionalFormatting>
  <conditionalFormatting sqref="A43:L44">
    <cfRule type="expression" priority="36" aboveAverage="0" equalAverage="0" bottom="0" percent="0" rank="0" text="" dxfId="0">
      <formula>$F43="YES"</formula>
    </cfRule>
  </conditionalFormatting>
  <conditionalFormatting sqref="A42:L42">
    <cfRule type="expression" priority="37" aboveAverage="0" equalAverage="0" bottom="0" percent="0" rank="0" text="" dxfId="0">
      <formula>$F42="YES"</formula>
    </cfRule>
  </conditionalFormatting>
  <conditionalFormatting sqref="A41:L41">
    <cfRule type="expression" priority="38" aboveAverage="0" equalAverage="0" bottom="0" percent="0" rank="0" text="" dxfId="0">
      <formula>$F41="YES"</formula>
    </cfRule>
  </conditionalFormatting>
  <conditionalFormatting sqref="A39:L40">
    <cfRule type="expression" priority="39" aboveAverage="0" equalAverage="0" bottom="0" percent="0" rank="0" text="" dxfId="0">
      <formula>$F39="YES"</formula>
    </cfRule>
  </conditionalFormatting>
  <conditionalFormatting sqref="A38:L38">
    <cfRule type="expression" priority="40" aboveAverage="0" equalAverage="0" bottom="0" percent="0" rank="0" text="" dxfId="0">
      <formula>$F38="YES"</formula>
    </cfRule>
  </conditionalFormatting>
  <conditionalFormatting sqref="A37:L37">
    <cfRule type="expression" priority="41" aboveAverage="0" equalAverage="0" bottom="0" percent="0" rank="0" text="" dxfId="0">
      <formula>$F37="YES"</formula>
    </cfRule>
  </conditionalFormatting>
  <conditionalFormatting sqref="A36:L36">
    <cfRule type="expression" priority="42" aboveAverage="0" equalAverage="0" bottom="0" percent="0" rank="0" text="" dxfId="0">
      <formula>$F36="YES"</formula>
    </cfRule>
  </conditionalFormatting>
  <conditionalFormatting sqref="A34:L35">
    <cfRule type="expression" priority="43" aboveAverage="0" equalAverage="0" bottom="0" percent="0" rank="0" text="" dxfId="0">
      <formula>$F34="YES"</formula>
    </cfRule>
  </conditionalFormatting>
  <conditionalFormatting sqref="A33:L33">
    <cfRule type="expression" priority="44" aboveAverage="0" equalAverage="0" bottom="0" percent="0" rank="0" text="" dxfId="0">
      <formula>$F33="YES"</formula>
    </cfRule>
  </conditionalFormatting>
  <conditionalFormatting sqref="A32:L32">
    <cfRule type="expression" priority="45" aboveAverage="0" equalAverage="0" bottom="0" percent="0" rank="0" text="" dxfId="0">
      <formula>$F32="YES"</formula>
    </cfRule>
  </conditionalFormatting>
  <conditionalFormatting sqref="A31:L31">
    <cfRule type="expression" priority="46" aboveAverage="0" equalAverage="0" bottom="0" percent="0" rank="0" text="" dxfId="0">
      <formula>$F31="YES"</formula>
    </cfRule>
  </conditionalFormatting>
  <conditionalFormatting sqref="A30:L30">
    <cfRule type="expression" priority="47" aboveAverage="0" equalAverage="0" bottom="0" percent="0" rank="0" text="" dxfId="0">
      <formula>$F30="YES"</formula>
    </cfRule>
  </conditionalFormatting>
  <conditionalFormatting sqref="A29:L29">
    <cfRule type="expression" priority="48" aboveAverage="0" equalAverage="0" bottom="0" percent="0" rank="0" text="" dxfId="0">
      <formula>$F29="YES"</formula>
    </cfRule>
  </conditionalFormatting>
  <conditionalFormatting sqref="A28:L28">
    <cfRule type="expression" priority="49" aboveAverage="0" equalAverage="0" bottom="0" percent="0" rank="0" text="" dxfId="0">
      <formula>$F28="YES"</formula>
    </cfRule>
  </conditionalFormatting>
  <conditionalFormatting sqref="A27:L27">
    <cfRule type="expression" priority="50" aboveAverage="0" equalAverage="0" bottom="0" percent="0" rank="0" text="" dxfId="0">
      <formula>$F27="YES"</formula>
    </cfRule>
  </conditionalFormatting>
  <conditionalFormatting sqref="A26:L26">
    <cfRule type="expression" priority="51" aboveAverage="0" equalAverage="0" bottom="0" percent="0" rank="0" text="" dxfId="0">
      <formula>$F26="YES"</formula>
    </cfRule>
  </conditionalFormatting>
  <conditionalFormatting sqref="A25:L25">
    <cfRule type="expression" priority="52" aboveAverage="0" equalAverage="0" bottom="0" percent="0" rank="0" text="" dxfId="0">
      <formula>$F25="YES"</formula>
    </cfRule>
  </conditionalFormatting>
  <conditionalFormatting sqref="A24:L24">
    <cfRule type="expression" priority="53" aboveAverage="0" equalAverage="0" bottom="0" percent="0" rank="0" text="" dxfId="0">
      <formula>$F24="YES"</formula>
    </cfRule>
  </conditionalFormatting>
  <conditionalFormatting sqref="A23:L23">
    <cfRule type="expression" priority="54" aboveAverage="0" equalAverage="0" bottom="0" percent="0" rank="0" text="" dxfId="0">
      <formula>$F23="YES"</formula>
    </cfRule>
  </conditionalFormatting>
  <conditionalFormatting sqref="A22:L22">
    <cfRule type="expression" priority="55" aboveAverage="0" equalAverage="0" bottom="0" percent="0" rank="0" text="" dxfId="0">
      <formula>$F22="YES"</formula>
    </cfRule>
  </conditionalFormatting>
  <conditionalFormatting sqref="A21:L21">
    <cfRule type="expression" priority="56" aboveAverage="0" equalAverage="0" bottom="0" percent="0" rank="0" text="" dxfId="0">
      <formula>$F21="YES"</formula>
    </cfRule>
  </conditionalFormatting>
  <conditionalFormatting sqref="A19:L20">
    <cfRule type="expression" priority="57" aboveAverage="0" equalAverage="0" bottom="0" percent="0" rank="0" text="" dxfId="0">
      <formula>$F19="YES"</formula>
    </cfRule>
  </conditionalFormatting>
  <conditionalFormatting sqref="A18:L18">
    <cfRule type="expression" priority="58" aboveAverage="0" equalAverage="0" bottom="0" percent="0" rank="0" text="" dxfId="0">
      <formula>$F18="YES"</formula>
    </cfRule>
  </conditionalFormatting>
  <conditionalFormatting sqref="A17:L17">
    <cfRule type="expression" priority="59" aboveAverage="0" equalAverage="0" bottom="0" percent="0" rank="0" text="" dxfId="0">
      <formula>$F17="YES"</formula>
    </cfRule>
  </conditionalFormatting>
  <conditionalFormatting sqref="A16:L16">
    <cfRule type="expression" priority="60" aboveAverage="0" equalAverage="0" bottom="0" percent="0" rank="0" text="" dxfId="0">
      <formula>$F16="YES"</formula>
    </cfRule>
  </conditionalFormatting>
  <conditionalFormatting sqref="A15:L15">
    <cfRule type="expression" priority="61" aboveAverage="0" equalAverage="0" bottom="0" percent="0" rank="0" text="" dxfId="0">
      <formula>$F15="YES"</formula>
    </cfRule>
  </conditionalFormatting>
  <conditionalFormatting sqref="A14:L14">
    <cfRule type="expression" priority="62" aboveAverage="0" equalAverage="0" bottom="0" percent="0" rank="0" text="" dxfId="0">
      <formula>$F14="YES"</formula>
    </cfRule>
  </conditionalFormatting>
  <conditionalFormatting sqref="A13:L13">
    <cfRule type="expression" priority="63" aboveAverage="0" equalAverage="0" bottom="0" percent="0" rank="0" text="" dxfId="0">
      <formula>$F13="YES"</formula>
    </cfRule>
  </conditionalFormatting>
  <conditionalFormatting sqref="A12:L12">
    <cfRule type="expression" priority="64" aboveAverage="0" equalAverage="0" bottom="0" percent="0" rank="0" text="" dxfId="0">
      <formula>$F12="YES"</formula>
    </cfRule>
  </conditionalFormatting>
  <conditionalFormatting sqref="A11:G11 H11:H87 I11:L11">
    <cfRule type="expression" priority="65" aboveAverage="0" equalAverage="0" bottom="0" percent="0" rank="0" text="" dxfId="0">
      <formula>$F11="YES"</formula>
    </cfRule>
  </conditionalFormatting>
  <conditionalFormatting sqref="A10:L10">
    <cfRule type="expression" priority="66" aboveAverage="0" equalAverage="0" bottom="0" percent="0" rank="0" text="" dxfId="0">
      <formula>$F10="YES"</formula>
    </cfRule>
  </conditionalFormatting>
  <conditionalFormatting sqref="A9:L9">
    <cfRule type="expression" priority="67" aboveAverage="0" equalAverage="0" bottom="0" percent="0" rank="0" text="" dxfId="0">
      <formula>$F9="YES"</formula>
    </cfRule>
  </conditionalFormatting>
  <conditionalFormatting sqref="A8:L8">
    <cfRule type="expression" priority="68" aboveAverage="0" equalAverage="0" bottom="0" percent="0" rank="0" text="" dxfId="0">
      <formula>$F8="YES"</formula>
    </cfRule>
  </conditionalFormatting>
  <conditionalFormatting sqref="A7:L7">
    <cfRule type="expression" priority="69" aboveAverage="0" equalAverage="0" bottom="0" percent="0" rank="0" text="" dxfId="0">
      <formula>$F7="YES"</formula>
    </cfRule>
  </conditionalFormatting>
  <conditionalFormatting sqref="A6:L6">
    <cfRule type="expression" priority="70" aboveAverage="0" equalAverage="0" bottom="0" percent="0" rank="0" text="" dxfId="0">
      <formula>$F6="YES"</formula>
    </cfRule>
  </conditionalFormatting>
  <conditionalFormatting sqref="A5:L5">
    <cfRule type="expression" priority="71" aboveAverage="0" equalAverage="0" bottom="0" percent="0" rank="0" text="" dxfId="0">
      <formula>$F5="YES"</formula>
    </cfRule>
  </conditionalFormatting>
  <conditionalFormatting sqref="A3:G4 H3:H87 I3:L4">
    <cfRule type="expression" priority="72" aboveAverage="0" equalAverage="0" bottom="0" percent="0" rank="0" text="" dxfId="0">
      <formula>$F3="YES"</formula>
    </cfRule>
  </conditionalFormatting>
  <conditionalFormatting sqref="A2:L2">
    <cfRule type="expression" priority="73" aboveAverage="0" equalAverage="0" bottom="0" percent="0" rank="0" text="" dxfId="0">
      <formula>$F2="YES"</formula>
    </cfRule>
  </conditionalFormatting>
  <dataValidations count="1">
    <dataValidation allowBlank="true" operator="between" showDropDown="false" showErrorMessage="false" showInputMessage="false" sqref="E2:E78 E80:E87" type="list">
      <formula1>'Salary Structure'!$B$2:$B$889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20.57"/>
    <col collapsed="false" customWidth="true" hidden="false" outlineLevel="0" max="6" min="3" style="0" width="6.01"/>
    <col collapsed="false" customWidth="true" hidden="false" outlineLevel="0" max="7" min="7" style="0" width="13.01"/>
    <col collapsed="false" customWidth="true" hidden="false" outlineLevel="0" max="8" min="8" style="0" width="6.01"/>
    <col collapsed="false" customWidth="true" hidden="false" outlineLevel="0" max="9" min="9" style="0" width="8"/>
    <col collapsed="false" customWidth="true" hidden="false" outlineLevel="0" max="10" min="10" style="0" width="12.43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2" t="s">
        <v>1779</v>
      </c>
      <c r="B1" s="12" t="s">
        <v>1780</v>
      </c>
      <c r="C1" s="12" t="s">
        <v>1781</v>
      </c>
      <c r="D1" s="12" t="s">
        <v>1782</v>
      </c>
      <c r="E1" s="12" t="s">
        <v>1783</v>
      </c>
      <c r="F1" s="12" t="s">
        <v>1784</v>
      </c>
      <c r="G1" s="12" t="s">
        <v>1785</v>
      </c>
      <c r="H1" s="12" t="s">
        <v>1786</v>
      </c>
      <c r="I1" s="12" t="s">
        <v>9</v>
      </c>
      <c r="J1" s="12" t="s">
        <v>1787</v>
      </c>
      <c r="K1" s="12" t="s">
        <v>1788</v>
      </c>
      <c r="L1" s="13" t="s">
        <v>1789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customFormat="false" ht="15.75" hidden="false" customHeight="false" outlineLevel="0" collapsed="false">
      <c r="A2" s="5" t="s">
        <v>1790</v>
      </c>
      <c r="B2" s="5" t="s">
        <v>1791</v>
      </c>
      <c r="C2" s="5" t="n">
        <f aca="false">TRUE()</f>
        <v>1</v>
      </c>
      <c r="D2" s="5" t="n">
        <f aca="false">TRUE()</f>
        <v>1</v>
      </c>
      <c r="E2" s="5" t="n">
        <f aca="false">TRUE()</f>
        <v>1</v>
      </c>
      <c r="F2" s="5" t="n">
        <f aca="false">TRUE()</f>
        <v>1</v>
      </c>
      <c r="G2" s="5" t="n">
        <f aca="false">FALSE()</f>
        <v>0</v>
      </c>
      <c r="H2" s="5" t="n">
        <f aca="false">TRUE()</f>
        <v>1</v>
      </c>
      <c r="I2" s="5" t="n">
        <f aca="false">TRUE()</f>
        <v>1</v>
      </c>
      <c r="J2" s="5" t="n">
        <f aca="false">TRUE()</f>
        <v>1</v>
      </c>
      <c r="K2" s="2" t="n">
        <f aca="false">FALSE()</f>
        <v>0</v>
      </c>
      <c r="L2" s="5" t="s">
        <v>1792</v>
      </c>
    </row>
    <row r="3" customFormat="false" ht="15.75" hidden="true" customHeight="false" outlineLevel="0" collapsed="false">
      <c r="A3" s="5" t="s">
        <v>1793</v>
      </c>
      <c r="B3" s="5" t="s">
        <v>1794</v>
      </c>
      <c r="C3" s="5" t="n">
        <f aca="false">TRUE()</f>
        <v>1</v>
      </c>
      <c r="D3" s="5" t="n">
        <f aca="false">TRUE()</f>
        <v>1</v>
      </c>
      <c r="E3" s="5" t="n">
        <f aca="false">TRUE()</f>
        <v>1</v>
      </c>
      <c r="F3" s="5" t="n">
        <f aca="false">TRUE()</f>
        <v>1</v>
      </c>
      <c r="G3" s="5" t="n">
        <f aca="false">FALSE()</f>
        <v>0</v>
      </c>
      <c r="H3" s="5" t="n">
        <f aca="false">FALSE()</f>
        <v>0</v>
      </c>
      <c r="I3" s="5" t="n">
        <f aca="false">TRUE()</f>
        <v>1</v>
      </c>
      <c r="J3" s="5" t="n">
        <f aca="false">TRUE()</f>
        <v>1</v>
      </c>
      <c r="K3" s="2" t="n">
        <f aca="false">FALSE()</f>
        <v>0</v>
      </c>
      <c r="L3" s="5" t="s">
        <v>1792</v>
      </c>
    </row>
    <row r="4" customFormat="false" ht="15.75" hidden="true" customHeight="false" outlineLevel="0" collapsed="false">
      <c r="A4" s="5" t="s">
        <v>1793</v>
      </c>
      <c r="B4" s="5" t="s">
        <v>1795</v>
      </c>
      <c r="C4" s="5" t="n">
        <f aca="false">TRUE()</f>
        <v>1</v>
      </c>
      <c r="D4" s="5" t="n">
        <f aca="false">TRUE()</f>
        <v>1</v>
      </c>
      <c r="E4" s="5" t="n">
        <f aca="false">TRUE()</f>
        <v>1</v>
      </c>
      <c r="F4" s="5" t="n">
        <f aca="false">TRUE()</f>
        <v>1</v>
      </c>
      <c r="G4" s="2" t="n">
        <f aca="false">FALSE()</f>
        <v>0</v>
      </c>
      <c r="H4" s="2" t="n">
        <f aca="false">FALSE()</f>
        <v>0</v>
      </c>
      <c r="I4" s="5" t="n">
        <f aca="false">TRUE()</f>
        <v>1</v>
      </c>
      <c r="J4" s="5" t="n">
        <f aca="false">TRUE()</f>
        <v>1</v>
      </c>
      <c r="K4" s="5" t="n">
        <f aca="false">TRUE()</f>
        <v>1</v>
      </c>
      <c r="L4" s="5" t="s">
        <v>1792</v>
      </c>
    </row>
    <row r="5" customFormat="false" ht="15.75" hidden="false" customHeight="false" outlineLevel="0" collapsed="false">
      <c r="A5" s="5" t="s">
        <v>1796</v>
      </c>
      <c r="B5" s="5" t="s">
        <v>1797</v>
      </c>
      <c r="C5" s="5" t="n">
        <f aca="false">TRUE()</f>
        <v>1</v>
      </c>
      <c r="D5" s="5" t="n">
        <f aca="false">TRUE()</f>
        <v>1</v>
      </c>
      <c r="E5" s="5" t="n">
        <f aca="false">TRUE()</f>
        <v>1</v>
      </c>
      <c r="F5" s="5" t="n">
        <f aca="false">TRUE()</f>
        <v>1</v>
      </c>
      <c r="G5" s="5" t="n">
        <f aca="false">FALSE()</f>
        <v>0</v>
      </c>
      <c r="H5" s="5" t="n">
        <f aca="false">TRUE()</f>
        <v>1</v>
      </c>
      <c r="I5" s="5" t="n">
        <f aca="false">TRUE()</f>
        <v>1</v>
      </c>
      <c r="J5" s="5" t="n">
        <f aca="false">TRUE()</f>
        <v>1</v>
      </c>
      <c r="K5" s="2" t="n">
        <f aca="false">FALSE()</f>
        <v>0</v>
      </c>
      <c r="L5" s="5" t="s">
        <v>1792</v>
      </c>
    </row>
    <row r="6" customFormat="false" ht="15.75" hidden="false" customHeight="false" outlineLevel="0" collapsed="false">
      <c r="A6" s="5" t="s">
        <v>1796</v>
      </c>
      <c r="B6" s="5" t="s">
        <v>1778</v>
      </c>
      <c r="C6" s="5" t="n">
        <f aca="false">TRUE()</f>
        <v>1</v>
      </c>
      <c r="D6" s="5" t="n">
        <f aca="false">TRUE()</f>
        <v>1</v>
      </c>
      <c r="E6" s="5" t="n">
        <f aca="false">TRUE()</f>
        <v>1</v>
      </c>
      <c r="F6" s="5" t="n">
        <f aca="false">TRUE()</f>
        <v>1</v>
      </c>
      <c r="G6" s="5" t="n">
        <f aca="false">TRUE()</f>
        <v>1</v>
      </c>
      <c r="H6" s="5" t="n">
        <f aca="false">TRUE()</f>
        <v>1</v>
      </c>
      <c r="I6" s="5" t="n">
        <f aca="false">TRUE()</f>
        <v>1</v>
      </c>
      <c r="J6" s="5" t="n">
        <f aca="false">TRUE()</f>
        <v>1</v>
      </c>
      <c r="K6" s="2" t="n">
        <f aca="false">FALSE()</f>
        <v>0</v>
      </c>
      <c r="L6" s="5" t="s">
        <v>1792</v>
      </c>
    </row>
    <row r="7" customFormat="false" ht="15.75" hidden="false" customHeight="false" outlineLevel="0" collapsed="false">
      <c r="A7" s="5" t="s">
        <v>1798</v>
      </c>
      <c r="B7" s="5" t="s">
        <v>1799</v>
      </c>
      <c r="C7" s="5" t="n">
        <f aca="false">TRUE()</f>
        <v>1</v>
      </c>
      <c r="D7" s="5" t="n">
        <f aca="false">TRUE()</f>
        <v>1</v>
      </c>
      <c r="E7" s="5" t="n">
        <f aca="false">TRUE()</f>
        <v>1</v>
      </c>
      <c r="F7" s="5" t="n">
        <f aca="false">TRUE()</f>
        <v>1</v>
      </c>
      <c r="G7" s="2" t="n">
        <f aca="false">FALSE()</f>
        <v>0</v>
      </c>
      <c r="H7" s="5" t="n">
        <f aca="false">TRUE()</f>
        <v>1</v>
      </c>
      <c r="I7" s="5" t="n">
        <f aca="false">TRUE()</f>
        <v>1</v>
      </c>
      <c r="J7" s="5" t="n">
        <f aca="false">TRUE()</f>
        <v>1</v>
      </c>
      <c r="K7" s="2" t="n">
        <f aca="false">FALSE()</f>
        <v>0</v>
      </c>
      <c r="L7" s="5" t="s">
        <v>1792</v>
      </c>
    </row>
    <row r="8" customFormat="false" ht="15.75" hidden="false" customHeight="false" outlineLevel="0" collapsed="false">
      <c r="A8" s="5" t="s">
        <v>1798</v>
      </c>
      <c r="B8" s="5" t="s">
        <v>1800</v>
      </c>
      <c r="C8" s="5" t="n">
        <f aca="false">TRUE()</f>
        <v>1</v>
      </c>
      <c r="D8" s="5" t="n">
        <f aca="false">TRUE()</f>
        <v>1</v>
      </c>
      <c r="E8" s="5" t="n">
        <f aca="false">TRUE()</f>
        <v>1</v>
      </c>
      <c r="F8" s="5" t="n">
        <f aca="false">TRUE()</f>
        <v>1</v>
      </c>
      <c r="G8" s="5" t="n">
        <f aca="false">TRUE()</f>
        <v>1</v>
      </c>
      <c r="H8" s="5" t="n">
        <f aca="false">TRUE()</f>
        <v>1</v>
      </c>
      <c r="I8" s="5" t="n">
        <f aca="false">TRUE()</f>
        <v>1</v>
      </c>
      <c r="J8" s="5" t="n">
        <f aca="false">TRUE()</f>
        <v>1</v>
      </c>
      <c r="K8" s="2" t="n">
        <f aca="false">FALSE()</f>
        <v>0</v>
      </c>
      <c r="L8" s="5" t="s">
        <v>1792</v>
      </c>
    </row>
    <row r="9" customFormat="false" ht="15.75" hidden="false" customHeight="false" outlineLevel="0" collapsed="false">
      <c r="A9" s="5" t="s">
        <v>1801</v>
      </c>
      <c r="B9" s="5" t="s">
        <v>1802</v>
      </c>
      <c r="C9" s="5" t="n">
        <f aca="false">TRUE()</f>
        <v>1</v>
      </c>
      <c r="D9" s="5" t="n">
        <f aca="false">TRUE()</f>
        <v>1</v>
      </c>
      <c r="E9" s="5" t="n">
        <f aca="false">TRUE()</f>
        <v>1</v>
      </c>
      <c r="F9" s="5" t="n">
        <f aca="false">TRUE()</f>
        <v>1</v>
      </c>
      <c r="G9" s="2" t="n">
        <f aca="false">FALSE()</f>
        <v>0</v>
      </c>
      <c r="H9" s="5" t="n">
        <f aca="false">TRUE()</f>
        <v>1</v>
      </c>
      <c r="I9" s="5" t="n">
        <f aca="false">TRUE()</f>
        <v>1</v>
      </c>
      <c r="J9" s="5" t="n">
        <f aca="false">TRUE()</f>
        <v>1</v>
      </c>
      <c r="K9" s="2" t="n">
        <f aca="false">FALSE()</f>
        <v>0</v>
      </c>
      <c r="L9" s="5" t="s">
        <v>1792</v>
      </c>
    </row>
    <row r="10" customFormat="false" ht="15.75" hidden="false" customHeight="false" outlineLevel="0" collapsed="false">
      <c r="A10" s="5" t="s">
        <v>1801</v>
      </c>
      <c r="B10" s="5" t="s">
        <v>1803</v>
      </c>
      <c r="C10" s="5" t="n">
        <f aca="false">TRUE()</f>
        <v>1</v>
      </c>
      <c r="D10" s="5" t="n">
        <f aca="false">TRUE()</f>
        <v>1</v>
      </c>
      <c r="E10" s="5" t="n">
        <f aca="false">TRUE()</f>
        <v>1</v>
      </c>
      <c r="F10" s="5" t="n">
        <f aca="false">TRUE()</f>
        <v>1</v>
      </c>
      <c r="G10" s="5" t="n">
        <f aca="false">TRUE()</f>
        <v>1</v>
      </c>
      <c r="H10" s="5" t="n">
        <f aca="false">TRUE()</f>
        <v>1</v>
      </c>
      <c r="I10" s="5" t="n">
        <f aca="false">TRUE()</f>
        <v>1</v>
      </c>
      <c r="J10" s="5" t="n">
        <f aca="false">TRUE()</f>
        <v>1</v>
      </c>
      <c r="K10" s="2" t="n">
        <f aca="false">FALSE()</f>
        <v>0</v>
      </c>
      <c r="L10" s="5" t="s">
        <v>1792</v>
      </c>
    </row>
    <row r="11" customFormat="false" ht="15.75" hidden="false" customHeight="false" outlineLevel="0" collapsed="false">
      <c r="A11" s="5" t="s">
        <v>1801</v>
      </c>
      <c r="B11" s="5" t="s">
        <v>1804</v>
      </c>
      <c r="C11" s="5" t="n">
        <f aca="false">TRUE()</f>
        <v>1</v>
      </c>
      <c r="D11" s="5" t="n">
        <f aca="false">TRUE()</f>
        <v>1</v>
      </c>
      <c r="E11" s="5" t="n">
        <f aca="false">TRUE()</f>
        <v>1</v>
      </c>
      <c r="F11" s="5" t="n">
        <f aca="false">TRUE()</f>
        <v>1</v>
      </c>
      <c r="G11" s="5" t="n">
        <f aca="false">FALSE()</f>
        <v>0</v>
      </c>
      <c r="H11" s="5" t="n">
        <f aca="false">TRUE()</f>
        <v>1</v>
      </c>
      <c r="I11" s="5" t="n">
        <f aca="false">TRUE()</f>
        <v>1</v>
      </c>
      <c r="J11" s="5" t="n">
        <f aca="false">TRUE()</f>
        <v>1</v>
      </c>
      <c r="K11" s="5" t="n">
        <f aca="false">TRUE()</f>
        <v>1</v>
      </c>
      <c r="L11" s="5" t="s">
        <v>1792</v>
      </c>
    </row>
    <row r="12" customFormat="false" ht="15.75" hidden="false" customHeight="false" outlineLevel="0" collapsed="false">
      <c r="A12" s="5" t="s">
        <v>1805</v>
      </c>
      <c r="B12" s="5" t="s">
        <v>1806</v>
      </c>
      <c r="C12" s="5" t="n">
        <f aca="false">TRUE()</f>
        <v>1</v>
      </c>
      <c r="D12" s="5" t="n">
        <f aca="false">TRUE()</f>
        <v>1</v>
      </c>
      <c r="E12" s="5" t="n">
        <f aca="false">TRUE()</f>
        <v>1</v>
      </c>
      <c r="F12" s="5" t="n">
        <f aca="false">TRUE()</f>
        <v>1</v>
      </c>
      <c r="G12" s="2" t="n">
        <f aca="false">FALSE()</f>
        <v>0</v>
      </c>
      <c r="H12" s="5" t="n">
        <f aca="false">TRUE()</f>
        <v>1</v>
      </c>
      <c r="I12" s="5" t="n">
        <f aca="false">TRUE()</f>
        <v>1</v>
      </c>
      <c r="J12" s="5" t="n">
        <f aca="false">TRUE()</f>
        <v>1</v>
      </c>
      <c r="K12" s="2" t="n">
        <f aca="false">FALSE()</f>
        <v>0</v>
      </c>
      <c r="L12" s="5" t="s">
        <v>1792</v>
      </c>
    </row>
    <row r="13" customFormat="false" ht="15.75" hidden="false" customHeight="false" outlineLevel="0" collapsed="false">
      <c r="A13" s="5" t="s">
        <v>1805</v>
      </c>
      <c r="B13" s="5" t="s">
        <v>1807</v>
      </c>
      <c r="C13" s="5" t="n">
        <f aca="false">TRUE()</f>
        <v>1</v>
      </c>
      <c r="D13" s="5" t="n">
        <f aca="false">TRUE()</f>
        <v>1</v>
      </c>
      <c r="E13" s="5" t="n">
        <f aca="false">TRUE()</f>
        <v>1</v>
      </c>
      <c r="F13" s="5" t="n">
        <f aca="false">TRUE()</f>
        <v>1</v>
      </c>
      <c r="G13" s="5" t="n">
        <f aca="false">TRUE()</f>
        <v>1</v>
      </c>
      <c r="H13" s="5" t="n">
        <f aca="false">TRUE()</f>
        <v>1</v>
      </c>
      <c r="I13" s="5" t="n">
        <f aca="false">TRUE()</f>
        <v>1</v>
      </c>
      <c r="J13" s="5" t="n">
        <f aca="false">TRUE()</f>
        <v>1</v>
      </c>
      <c r="K13" s="2" t="n">
        <f aca="false">FALSE()</f>
        <v>0</v>
      </c>
      <c r="L13" s="5" t="s">
        <v>1792</v>
      </c>
    </row>
    <row r="14" customFormat="false" ht="15.75" hidden="false" customHeight="false" outlineLevel="0" collapsed="false">
      <c r="A14" s="5" t="s">
        <v>1808</v>
      </c>
      <c r="B14" s="5" t="s">
        <v>1809</v>
      </c>
      <c r="C14" s="5" t="n">
        <f aca="false">TRUE()</f>
        <v>1</v>
      </c>
      <c r="D14" s="5" t="n">
        <f aca="false">TRUE()</f>
        <v>1</v>
      </c>
      <c r="E14" s="5" t="n">
        <f aca="false">TRUE()</f>
        <v>1</v>
      </c>
      <c r="F14" s="5" t="n">
        <f aca="false">TRUE()</f>
        <v>1</v>
      </c>
      <c r="G14" s="2" t="n">
        <f aca="false">FALSE()</f>
        <v>0</v>
      </c>
      <c r="H14" s="5" t="n">
        <f aca="false">TRUE()</f>
        <v>1</v>
      </c>
      <c r="I14" s="5" t="n">
        <f aca="false">TRUE()</f>
        <v>1</v>
      </c>
      <c r="J14" s="5" t="n">
        <f aca="false">TRUE()</f>
        <v>1</v>
      </c>
      <c r="K14" s="5" t="n">
        <f aca="false">TRUE()</f>
        <v>1</v>
      </c>
      <c r="L14" s="5" t="s">
        <v>1792</v>
      </c>
    </row>
    <row r="15" customFormat="false" ht="15.75" hidden="false" customHeight="false" outlineLevel="0" collapsed="false">
      <c r="A15" s="5" t="s">
        <v>1810</v>
      </c>
      <c r="B15" s="5" t="s">
        <v>1811</v>
      </c>
      <c r="C15" s="5" t="n">
        <f aca="false">TRUE()</f>
        <v>1</v>
      </c>
      <c r="D15" s="5" t="n">
        <f aca="false">TRUE()</f>
        <v>1</v>
      </c>
      <c r="E15" s="5" t="n">
        <f aca="false">TRUE()</f>
        <v>1</v>
      </c>
      <c r="F15" s="5" t="n">
        <f aca="false">TRUE()</f>
        <v>1</v>
      </c>
      <c r="G15" s="2" t="n">
        <f aca="false">FALSE()</f>
        <v>0</v>
      </c>
      <c r="H15" s="5" t="n">
        <f aca="false">TRUE()</f>
        <v>1</v>
      </c>
      <c r="I15" s="5" t="n">
        <f aca="false">TRUE()</f>
        <v>1</v>
      </c>
      <c r="J15" s="5" t="n">
        <f aca="false">TRUE()</f>
        <v>1</v>
      </c>
      <c r="K15" s="2" t="n">
        <f aca="false">FALSE()</f>
        <v>0</v>
      </c>
      <c r="L15" s="5" t="s">
        <v>1792</v>
      </c>
    </row>
    <row r="16" customFormat="false" ht="15.75" hidden="false" customHeight="false" outlineLevel="0" collapsed="false">
      <c r="A16" s="5" t="s">
        <v>1810</v>
      </c>
      <c r="B16" s="5" t="s">
        <v>1812</v>
      </c>
      <c r="C16" s="5" t="n">
        <f aca="false">TRUE()</f>
        <v>1</v>
      </c>
      <c r="D16" s="5" t="n">
        <f aca="false">TRUE()</f>
        <v>1</v>
      </c>
      <c r="E16" s="5" t="n">
        <f aca="false">TRUE()</f>
        <v>1</v>
      </c>
      <c r="F16" s="5" t="n">
        <f aca="false">TRUE()</f>
        <v>1</v>
      </c>
      <c r="G16" s="5" t="n">
        <f aca="false">TRUE()</f>
        <v>1</v>
      </c>
      <c r="H16" s="5" t="n">
        <f aca="false">TRUE()</f>
        <v>1</v>
      </c>
      <c r="I16" s="5" t="n">
        <f aca="false">TRUE()</f>
        <v>1</v>
      </c>
      <c r="J16" s="5" t="n">
        <f aca="false">TRUE()</f>
        <v>1</v>
      </c>
      <c r="K16" s="2" t="n">
        <f aca="false">FALSE()</f>
        <v>0</v>
      </c>
      <c r="L16" s="5" t="s">
        <v>1792</v>
      </c>
    </row>
    <row r="17" customFormat="false" ht="15.75" hidden="false" customHeight="false" outlineLevel="0" collapsed="false">
      <c r="A17" s="5" t="s">
        <v>1810</v>
      </c>
      <c r="B17" s="5" t="s">
        <v>1813</v>
      </c>
      <c r="C17" s="5" t="n">
        <f aca="false">TRUE()</f>
        <v>1</v>
      </c>
      <c r="D17" s="5" t="n">
        <f aca="false">TRUE()</f>
        <v>1</v>
      </c>
      <c r="E17" s="5" t="n">
        <f aca="false">TRUE()</f>
        <v>1</v>
      </c>
      <c r="F17" s="5" t="n">
        <f aca="false">TRUE()</f>
        <v>1</v>
      </c>
      <c r="G17" s="2" t="n">
        <f aca="false">FALSE()</f>
        <v>0</v>
      </c>
      <c r="H17" s="5" t="n">
        <f aca="false">TRUE()</f>
        <v>1</v>
      </c>
      <c r="I17" s="5" t="n">
        <f aca="false">TRUE()</f>
        <v>1</v>
      </c>
      <c r="J17" s="5" t="n">
        <f aca="false">TRUE()</f>
        <v>1</v>
      </c>
      <c r="K17" s="5" t="n">
        <f aca="false">TRUE()</f>
        <v>1</v>
      </c>
      <c r="L17" s="5" t="s">
        <v>1792</v>
      </c>
    </row>
    <row r="18" customFormat="false" ht="15.75" hidden="false" customHeight="false" outlineLevel="0" collapsed="false">
      <c r="A18" s="5" t="s">
        <v>1814</v>
      </c>
      <c r="B18" s="5" t="s">
        <v>1815</v>
      </c>
      <c r="C18" s="5" t="n">
        <f aca="false">TRUE()</f>
        <v>1</v>
      </c>
      <c r="D18" s="5" t="n">
        <f aca="false">TRUE()</f>
        <v>1</v>
      </c>
      <c r="E18" s="5" t="n">
        <f aca="false">TRUE()</f>
        <v>1</v>
      </c>
      <c r="F18" s="5" t="n">
        <f aca="false">TRUE()</f>
        <v>1</v>
      </c>
      <c r="G18" s="2" t="n">
        <f aca="false">FALSE()</f>
        <v>0</v>
      </c>
      <c r="H18" s="5" t="n">
        <f aca="false">TRUE()</f>
        <v>1</v>
      </c>
      <c r="I18" s="5" t="n">
        <f aca="false">TRUE()</f>
        <v>1</v>
      </c>
      <c r="J18" s="5" t="n">
        <f aca="false">TRUE()</f>
        <v>1</v>
      </c>
      <c r="K18" s="5" t="n">
        <f aca="false">FALSE()</f>
        <v>0</v>
      </c>
      <c r="L18" s="5" t="s">
        <v>1792</v>
      </c>
    </row>
    <row r="19" customFormat="false" ht="15.75" hidden="true" customHeight="false" outlineLevel="0" collapsed="false">
      <c r="A19" s="5" t="s">
        <v>1816</v>
      </c>
      <c r="B19" s="5" t="s">
        <v>1817</v>
      </c>
      <c r="C19" s="5" t="n">
        <f aca="false">TRUE()</f>
        <v>1</v>
      </c>
      <c r="D19" s="5" t="n">
        <f aca="false">TRUE()</f>
        <v>1</v>
      </c>
      <c r="E19" s="5" t="n">
        <f aca="false">TRUE()</f>
        <v>1</v>
      </c>
      <c r="F19" s="5" t="n">
        <f aca="false">TRUE()</f>
        <v>1</v>
      </c>
      <c r="G19" s="2" t="n">
        <f aca="false">FALSE()</f>
        <v>0</v>
      </c>
      <c r="H19" s="5" t="n">
        <f aca="false">FALSE()</f>
        <v>0</v>
      </c>
      <c r="I19" s="5" t="n">
        <f aca="false">TRUE()</f>
        <v>1</v>
      </c>
      <c r="J19" s="5" t="n">
        <f aca="false">TRUE()</f>
        <v>1</v>
      </c>
      <c r="K19" s="5" t="n">
        <f aca="false">FALSE()</f>
        <v>0</v>
      </c>
      <c r="L19" s="5" t="s">
        <v>1792</v>
      </c>
    </row>
    <row r="20" customFormat="false" ht="15.75" hidden="true" customHeight="false" outlineLevel="0" collapsed="false">
      <c r="A20" s="5" t="s">
        <v>1818</v>
      </c>
      <c r="B20" s="5" t="s">
        <v>1819</v>
      </c>
      <c r="C20" s="5" t="n">
        <f aca="false">TRUE()</f>
        <v>1</v>
      </c>
      <c r="D20" s="5" t="n">
        <f aca="false">TRUE()</f>
        <v>1</v>
      </c>
      <c r="E20" s="5" t="n">
        <f aca="false">TRUE()</f>
        <v>1</v>
      </c>
      <c r="F20" s="5" t="n">
        <f aca="false">TRUE()</f>
        <v>1</v>
      </c>
      <c r="G20" s="2" t="n">
        <f aca="false">FALSE()</f>
        <v>0</v>
      </c>
      <c r="H20" s="5" t="n">
        <f aca="false">FALSE()</f>
        <v>0</v>
      </c>
      <c r="I20" s="5" t="n">
        <f aca="false">TRUE()</f>
        <v>1</v>
      </c>
      <c r="J20" s="5" t="n">
        <f aca="false">TRUE()</f>
        <v>1</v>
      </c>
      <c r="K20" s="2" t="n">
        <f aca="false">FALSE()</f>
        <v>0</v>
      </c>
      <c r="L20" s="5" t="s">
        <v>1792</v>
      </c>
    </row>
    <row r="21" customFormat="false" ht="15.75" hidden="true" customHeight="false" outlineLevel="0" collapsed="false">
      <c r="A21" s="5" t="s">
        <v>1818</v>
      </c>
      <c r="B21" s="5" t="s">
        <v>1820</v>
      </c>
      <c r="C21" s="5" t="n">
        <f aca="false">TRUE()</f>
        <v>1</v>
      </c>
      <c r="D21" s="5" t="n">
        <f aca="false">TRUE()</f>
        <v>1</v>
      </c>
      <c r="E21" s="5" t="n">
        <f aca="false">TRUE()</f>
        <v>1</v>
      </c>
      <c r="F21" s="5" t="n">
        <f aca="false">TRUE()</f>
        <v>1</v>
      </c>
      <c r="G21" s="5" t="n">
        <f aca="false">TRUE()</f>
        <v>1</v>
      </c>
      <c r="H21" s="5" t="n">
        <f aca="false">FALSE()</f>
        <v>0</v>
      </c>
      <c r="I21" s="5" t="n">
        <f aca="false">TRUE()</f>
        <v>1</v>
      </c>
      <c r="J21" s="5" t="n">
        <f aca="false">TRUE()</f>
        <v>1</v>
      </c>
      <c r="K21" s="2" t="n">
        <f aca="false">FALSE()</f>
        <v>0</v>
      </c>
      <c r="L21" s="5" t="s">
        <v>1792</v>
      </c>
    </row>
    <row r="22" customFormat="false" ht="15.75" hidden="true" customHeight="false" outlineLevel="0" collapsed="false">
      <c r="A22" s="5" t="s">
        <v>1818</v>
      </c>
      <c r="B22" s="5" t="s">
        <v>1821</v>
      </c>
      <c r="C22" s="5" t="n">
        <f aca="false">TRUE()</f>
        <v>1</v>
      </c>
      <c r="D22" s="5" t="n">
        <f aca="false">TRUE()</f>
        <v>1</v>
      </c>
      <c r="E22" s="5" t="n">
        <f aca="false">TRUE()</f>
        <v>1</v>
      </c>
      <c r="F22" s="5" t="n">
        <f aca="false">TRUE()</f>
        <v>1</v>
      </c>
      <c r="G22" s="2" t="n">
        <f aca="false">FALSE()</f>
        <v>0</v>
      </c>
      <c r="H22" s="5" t="n">
        <f aca="false">FALSE()</f>
        <v>0</v>
      </c>
      <c r="I22" s="5" t="n">
        <f aca="false">TRUE()</f>
        <v>1</v>
      </c>
      <c r="J22" s="5" t="n">
        <f aca="false">TRUE()</f>
        <v>1</v>
      </c>
      <c r="K22" s="5" t="n">
        <f aca="false">TRUE()</f>
        <v>1</v>
      </c>
      <c r="L22" s="5" t="s">
        <v>1792</v>
      </c>
    </row>
    <row r="23" customFormat="false" ht="15.75" hidden="true" customHeight="false" outlineLevel="0" collapsed="false">
      <c r="A23" s="5" t="s">
        <v>1822</v>
      </c>
      <c r="B23" s="5" t="s">
        <v>1823</v>
      </c>
      <c r="C23" s="5" t="n">
        <f aca="false">TRUE()</f>
        <v>1</v>
      </c>
      <c r="D23" s="5" t="n">
        <f aca="false">TRUE()</f>
        <v>1</v>
      </c>
      <c r="E23" s="5" t="n">
        <f aca="false">TRUE()</f>
        <v>1</v>
      </c>
      <c r="F23" s="5" t="n">
        <f aca="false">TRUE()</f>
        <v>1</v>
      </c>
      <c r="G23" s="2" t="n">
        <f aca="false">FALSE()</f>
        <v>0</v>
      </c>
      <c r="H23" s="5" t="n">
        <f aca="false">FALSE()</f>
        <v>0</v>
      </c>
      <c r="I23" s="5" t="n">
        <f aca="false">TRUE()</f>
        <v>1</v>
      </c>
      <c r="J23" s="5" t="n">
        <f aca="false">TRUE()</f>
        <v>1</v>
      </c>
      <c r="K23" s="2" t="n">
        <f aca="false">FALSE()</f>
        <v>0</v>
      </c>
      <c r="L23" s="5" t="s">
        <v>1792</v>
      </c>
    </row>
    <row r="24" customFormat="false" ht="15.75" hidden="true" customHeight="false" outlineLevel="0" collapsed="false">
      <c r="A24" s="5" t="s">
        <v>1822</v>
      </c>
      <c r="B24" s="5" t="s">
        <v>1824</v>
      </c>
      <c r="C24" s="5" t="n">
        <f aca="false">TRUE()</f>
        <v>1</v>
      </c>
      <c r="D24" s="5" t="n">
        <f aca="false">TRUE()</f>
        <v>1</v>
      </c>
      <c r="E24" s="5" t="n">
        <f aca="false">TRUE()</f>
        <v>1</v>
      </c>
      <c r="F24" s="5" t="n">
        <f aca="false">TRUE()</f>
        <v>1</v>
      </c>
      <c r="G24" s="5" t="n">
        <f aca="false">TRUE()</f>
        <v>1</v>
      </c>
      <c r="H24" s="5" t="n">
        <f aca="false">FALSE()</f>
        <v>0</v>
      </c>
      <c r="I24" s="5" t="n">
        <f aca="false">TRUE()</f>
        <v>1</v>
      </c>
      <c r="J24" s="5" t="n">
        <f aca="false">TRUE()</f>
        <v>1</v>
      </c>
      <c r="K24" s="2" t="n">
        <f aca="false">FALSE()</f>
        <v>0</v>
      </c>
      <c r="L24" s="5" t="s">
        <v>1792</v>
      </c>
    </row>
    <row r="25" customFormat="false" ht="15.75" hidden="true" customHeight="false" outlineLevel="0" collapsed="false">
      <c r="A25" s="5" t="s">
        <v>1822</v>
      </c>
      <c r="B25" s="5" t="s">
        <v>1825</v>
      </c>
      <c r="C25" s="5" t="n">
        <f aca="false">TRUE()</f>
        <v>1</v>
      </c>
      <c r="D25" s="5" t="n">
        <f aca="false">TRUE()</f>
        <v>1</v>
      </c>
      <c r="E25" s="5" t="n">
        <f aca="false">TRUE()</f>
        <v>1</v>
      </c>
      <c r="F25" s="5" t="n">
        <f aca="false">TRUE()</f>
        <v>1</v>
      </c>
      <c r="G25" s="2" t="n">
        <f aca="false">FALSE()</f>
        <v>0</v>
      </c>
      <c r="H25" s="5" t="n">
        <f aca="false">FALSE()</f>
        <v>0</v>
      </c>
      <c r="I25" s="5" t="n">
        <f aca="false">TRUE()</f>
        <v>1</v>
      </c>
      <c r="J25" s="5" t="n">
        <f aca="false">TRUE()</f>
        <v>1</v>
      </c>
      <c r="K25" s="5" t="n">
        <f aca="false">TRUE()</f>
        <v>1</v>
      </c>
      <c r="L25" s="5" t="s">
        <v>1792</v>
      </c>
    </row>
  </sheetData>
  <autoFilter ref="A1:L25">
    <filterColumn colId="7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8" min="7" style="0" width="8.86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4" t="str">
        <f aca="false">IFERROR(__xludf.dummyfunction("IMPORTRANGE(""1_2AJTg-CDoU2BdJOgHFr0dWK-Wl-L2tOJgn6h-VEoGI"",""Consolidated Structures!C2:O"")"),"Emp. Id")</f>
        <v>Emp. Id</v>
      </c>
      <c r="B1" s="14" t="str">
        <f aca="false">IFERROR(__xludf.dummyfunction("""COMPUTED_VALUE"""),"Name")</f>
        <v>Name</v>
      </c>
      <c r="C1" s="14" t="str">
        <f aca="false">IFERROR(__xludf.dummyfunction("""COMPUTED_VALUE"""),"Department")</f>
        <v>Department</v>
      </c>
      <c r="D1" s="14" t="str">
        <f aca="false">IFERROR(__xludf.dummyfunction("""COMPUTED_VALUE"""),"Location")</f>
        <v>Location</v>
      </c>
      <c r="E1" s="14" t="str">
        <f aca="false">IFERROR(__xludf.dummyfunction("""COMPUTED_VALUE"""),"DOJ ")</f>
        <v>DOJ </v>
      </c>
      <c r="F1" s="15" t="str">
        <f aca="false">IFERROR(__xludf.dummyfunction("""COMPUTED_VALUE"""),"Salary 
P.M")</f>
        <v>Salary 
P.M</v>
      </c>
      <c r="G1" s="14" t="str">
        <f aca="false">IFERROR(__xludf.dummyfunction("""COMPUTED_VALUE"""),"No.of days in month")</f>
        <v>No.of days in month</v>
      </c>
      <c r="H1" s="14" t="str">
        <f aca="false">IFERROR(__xludf.dummyfunction("""COMPUTED_VALUE"""),"No. of days worked")</f>
        <v>No. of days worked</v>
      </c>
      <c r="I1" s="15" t="str">
        <f aca="false">IFERROR(__xludf.dummyfunction("""COMPUTED_VALUE"""),"Gross salary PA")</f>
        <v>Gross salary PA</v>
      </c>
      <c r="J1" s="15" t="str">
        <f aca="false">IFERROR(__xludf.dummyfunction("""COMPUTED_VALUE"""),"Insurance")</f>
        <v>Insurance</v>
      </c>
      <c r="K1" s="15" t="str">
        <f aca="false">IFERROR(__xludf.dummyfunction("""COMPUTED_VALUE"""),"TDS")</f>
        <v>TDS</v>
      </c>
      <c r="L1" s="15" t="str">
        <f aca="false">IFERROR(__xludf.dummyfunction("""COMPUTED_VALUE"""),"Misc Allowance")</f>
        <v>Misc Allowance</v>
      </c>
      <c r="M1" s="15" t="str">
        <f aca="false">IFERROR(__xludf.dummyfunction("""COMPUTED_VALUE"""),"HR Deductions")</f>
        <v>HR Deductions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.75" hidden="false" customHeight="false" outlineLevel="0" collapsed="false">
      <c r="A2" s="2" t="str">
        <f aca="false">IFERROR(__xludf.dummyfunction("""COMPUTED_VALUE"""),"AAR/KAN/1481")</f>
        <v>AAR/KAN/1481</v>
      </c>
      <c r="B2" s="2" t="str">
        <f aca="false">IFERROR(__xludf.dummyfunction("""COMPUTED_VALUE"""),"Konda Gopi")</f>
        <v>Konda Gopi</v>
      </c>
      <c r="C2" s="2" t="str">
        <f aca="false">IFERROR(__xludf.dummyfunction("""COMPUTED_VALUE"""),"Warden")</f>
        <v>Warden</v>
      </c>
      <c r="D2" s="2" t="str">
        <f aca="false">IFERROR(__xludf.dummyfunction("""COMPUTED_VALUE"""),"Kavalya Apartments")</f>
        <v>Kavalya Apartments</v>
      </c>
      <c r="E2" s="16" t="n">
        <f aca="false">IFERROR(__xludf.dummyfunction("""COMPUTED_VALUE"""),43556)</f>
        <v>43556</v>
      </c>
      <c r="F2" s="9" t="n">
        <f aca="false">IFERROR(__xludf.dummyfunction("""COMPUTED_VALUE"""),14000)</f>
        <v>14000</v>
      </c>
      <c r="G2" s="2" t="n">
        <f aca="false">IFERROR(__xludf.dummyfunction("""COMPUTED_VALUE"""),30)</f>
        <v>30</v>
      </c>
      <c r="H2" s="2" t="n">
        <f aca="false">IFERROR(__xludf.dummyfunction("""COMPUTED_VALUE"""),30)</f>
        <v>30</v>
      </c>
      <c r="I2" s="9" t="n">
        <f aca="false">IFERROR(__xludf.dummyfunction("""COMPUTED_VALUE"""),168000)</f>
        <v>168000</v>
      </c>
      <c r="J2" s="9" t="n">
        <f aca="false">IFERROR(__xludf.dummyfunction("""COMPUTED_VALUE"""),93)</f>
        <v>93</v>
      </c>
      <c r="K2" s="9"/>
      <c r="L2" s="9" t="n">
        <f aca="false">IFERROR(__xludf.dummyfunction("""COMPUTED_VALUE"""),0)</f>
        <v>0</v>
      </c>
      <c r="M2" s="9"/>
    </row>
    <row r="3" customFormat="false" ht="15.75" hidden="false" customHeight="false" outlineLevel="0" collapsed="false">
      <c r="A3" s="2" t="str">
        <f aca="false">IFERROR(__xludf.dummyfunction("""COMPUTED_VALUE"""),"HFI/KAN/0969")</f>
        <v>HFI/KAN/0969</v>
      </c>
      <c r="B3" s="2" t="str">
        <f aca="false">IFERROR(__xludf.dummyfunction("""COMPUTED_VALUE"""),"Prakash Raju J")</f>
        <v>Prakash Raju J</v>
      </c>
      <c r="C3" s="2" t="str">
        <f aca="false">IFERROR(__xludf.dummyfunction("""COMPUTED_VALUE"""),"Store Executive")</f>
        <v>Store Executive</v>
      </c>
      <c r="D3" s="2" t="str">
        <f aca="false">IFERROR(__xludf.dummyfunction("""COMPUTED_VALUE"""),"The Pearl")</f>
        <v>The Pearl</v>
      </c>
      <c r="E3" s="16" t="n">
        <f aca="false">IFERROR(__xludf.dummyfunction("""COMPUTED_VALUE"""),43481)</f>
        <v>43481</v>
      </c>
      <c r="F3" s="9" t="n">
        <f aca="false">IFERROR(__xludf.dummyfunction("""COMPUTED_VALUE"""),18000)</f>
        <v>18000</v>
      </c>
      <c r="G3" s="2" t="n">
        <f aca="false">IFERROR(__xludf.dummyfunction("""COMPUTED_VALUE"""),30)</f>
        <v>30</v>
      </c>
      <c r="H3" s="2" t="n">
        <f aca="false">IFERROR(__xludf.dummyfunction("""COMPUTED_VALUE"""),30)</f>
        <v>30</v>
      </c>
      <c r="I3" s="9" t="n">
        <f aca="false">IFERROR(__xludf.dummyfunction("""COMPUTED_VALUE"""),216000)</f>
        <v>216000</v>
      </c>
      <c r="J3" s="9" t="n">
        <f aca="false">IFERROR(__xludf.dummyfunction("""COMPUTED_VALUE"""),93)</f>
        <v>93</v>
      </c>
      <c r="K3" s="9"/>
      <c r="L3" s="9" t="n">
        <f aca="false">IFERROR(__xludf.dummyfunction("""COMPUTED_VALUE"""),0)</f>
        <v>0</v>
      </c>
      <c r="M3" s="9"/>
    </row>
    <row r="4" customFormat="false" ht="15.75" hidden="false" customHeight="false" outlineLevel="0" collapsed="false">
      <c r="A4" s="2" t="str">
        <f aca="false">IFERROR(__xludf.dummyfunction("""COMPUTED_VALUE"""),"HFI/KAN/0963")</f>
        <v>HFI/KAN/0963</v>
      </c>
      <c r="B4" s="2" t="str">
        <f aca="false">IFERROR(__xludf.dummyfunction("""COMPUTED_VALUE"""),"Manmadha Rao M")</f>
        <v>Manmadha Rao M</v>
      </c>
      <c r="C4" s="2" t="str">
        <f aca="false">IFERROR(__xludf.dummyfunction("""COMPUTED_VALUE"""),"HK - Manager")</f>
        <v>HK - Manager</v>
      </c>
      <c r="D4" s="2" t="str">
        <f aca="false">IFERROR(__xludf.dummyfunction("""COMPUTED_VALUE"""),"The Pearl")</f>
        <v>The Pearl</v>
      </c>
      <c r="E4" s="16" t="n">
        <f aca="false">IFERROR(__xludf.dummyfunction("""COMPUTED_VALUE"""),43481)</f>
        <v>43481</v>
      </c>
      <c r="F4" s="9" t="n">
        <f aca="false">IFERROR(__xludf.dummyfunction("""COMPUTED_VALUE"""),25000)</f>
        <v>25000</v>
      </c>
      <c r="G4" s="2" t="n">
        <f aca="false">IFERROR(__xludf.dummyfunction("""COMPUTED_VALUE"""),30)</f>
        <v>30</v>
      </c>
      <c r="H4" s="2" t="n">
        <f aca="false">IFERROR(__xludf.dummyfunction("""COMPUTED_VALUE"""),30)</f>
        <v>30</v>
      </c>
      <c r="I4" s="9" t="n">
        <f aca="false">IFERROR(__xludf.dummyfunction("""COMPUTED_VALUE"""),300000)</f>
        <v>300000</v>
      </c>
      <c r="J4" s="9" t="n">
        <f aca="false">IFERROR(__xludf.dummyfunction("""COMPUTED_VALUE"""),319)</f>
        <v>319</v>
      </c>
      <c r="K4" s="9"/>
      <c r="L4" s="9" t="n">
        <f aca="false">IFERROR(__xludf.dummyfunction("""COMPUTED_VALUE"""),0)</f>
        <v>0</v>
      </c>
      <c r="M4" s="9"/>
    </row>
    <row r="5" customFormat="false" ht="15.75" hidden="false" customHeight="false" outlineLevel="0" collapsed="false">
      <c r="A5" s="2" t="str">
        <f aca="false">IFERROR(__xludf.dummyfunction("""COMPUTED_VALUE"""),"HFI/KAN/1056")</f>
        <v>HFI/KAN/1056</v>
      </c>
      <c r="B5" s="2" t="str">
        <f aca="false">IFERROR(__xludf.dummyfunction("""COMPUTED_VALUE"""),"Harsh Vishwakarma ")</f>
        <v>Harsh Vishwakarma </v>
      </c>
      <c r="C5" s="2" t="str">
        <f aca="false">IFERROR(__xludf.dummyfunction("""COMPUTED_VALUE"""),"Front Office ")</f>
        <v>Front Office </v>
      </c>
      <c r="D5" s="2" t="str">
        <f aca="false">IFERROR(__xludf.dummyfunction("""COMPUTED_VALUE"""),"The Pearl")</f>
        <v>The Pearl</v>
      </c>
      <c r="E5" s="16" t="n">
        <f aca="false">IFERROR(__xludf.dummyfunction("""COMPUTED_VALUE"""),43551)</f>
        <v>43551</v>
      </c>
      <c r="F5" s="9" t="n">
        <f aca="false">IFERROR(__xludf.dummyfunction("""COMPUTED_VALUE"""),12000)</f>
        <v>12000</v>
      </c>
      <c r="G5" s="2" t="n">
        <f aca="false">IFERROR(__xludf.dummyfunction("""COMPUTED_VALUE"""),30)</f>
        <v>30</v>
      </c>
      <c r="H5" s="2" t="n">
        <f aca="false">IFERROR(__xludf.dummyfunction("""COMPUTED_VALUE"""),30)</f>
        <v>30</v>
      </c>
      <c r="I5" s="9" t="n">
        <f aca="false">IFERROR(__xludf.dummyfunction("""COMPUTED_VALUE"""),144000)</f>
        <v>144000</v>
      </c>
      <c r="J5" s="9" t="n">
        <f aca="false">IFERROR(__xludf.dummyfunction("""COMPUTED_VALUE"""),93)</f>
        <v>93</v>
      </c>
      <c r="K5" s="9"/>
      <c r="L5" s="9" t="n">
        <f aca="false">IFERROR(__xludf.dummyfunction("""COMPUTED_VALUE"""),0)</f>
        <v>0</v>
      </c>
      <c r="M5" s="9"/>
    </row>
    <row r="6" customFormat="false" ht="15.75" hidden="false" customHeight="false" outlineLevel="0" collapsed="false">
      <c r="A6" s="2" t="str">
        <f aca="false">IFERROR(__xludf.dummyfunction("""COMPUTED_VALUE"""),"HFI/KAN/1073")</f>
        <v>HFI/KAN/1073</v>
      </c>
      <c r="B6" s="2" t="str">
        <f aca="false">IFERROR(__xludf.dummyfunction("""COMPUTED_VALUE"""),"Vidya Rao")</f>
        <v>Vidya Rao</v>
      </c>
      <c r="C6" s="2" t="str">
        <f aca="false">IFERROR(__xludf.dummyfunction("""COMPUTED_VALUE"""),"Operations Manager")</f>
        <v>Operations Manager</v>
      </c>
      <c r="D6" s="2" t="str">
        <f aca="false">IFERROR(__xludf.dummyfunction("""COMPUTED_VALUE"""),"The Pearl")</f>
        <v>The Pearl</v>
      </c>
      <c r="E6" s="16" t="n">
        <f aca="false">IFERROR(__xludf.dummyfunction("""COMPUTED_VALUE"""),43581)</f>
        <v>43581</v>
      </c>
      <c r="F6" s="9" t="n">
        <f aca="false">IFERROR(__xludf.dummyfunction("""COMPUTED_VALUE"""),30000)</f>
        <v>30000</v>
      </c>
      <c r="G6" s="2" t="n">
        <f aca="false">IFERROR(__xludf.dummyfunction("""COMPUTED_VALUE"""),30)</f>
        <v>30</v>
      </c>
      <c r="H6" s="2" t="n">
        <f aca="false">IFERROR(__xludf.dummyfunction("""COMPUTED_VALUE"""),30)</f>
        <v>30</v>
      </c>
      <c r="I6" s="9" t="n">
        <f aca="false">IFERROR(__xludf.dummyfunction("""COMPUTED_VALUE"""),360000)</f>
        <v>360000</v>
      </c>
      <c r="J6" s="9" t="n">
        <f aca="false">IFERROR(__xludf.dummyfunction("""COMPUTED_VALUE"""),531)</f>
        <v>531</v>
      </c>
      <c r="K6" s="9"/>
      <c r="L6" s="9" t="n">
        <f aca="false">IFERROR(__xludf.dummyfunction("""COMPUTED_VALUE"""),0)</f>
        <v>0</v>
      </c>
      <c r="M6" s="9"/>
    </row>
    <row r="7" customFormat="false" ht="15.75" hidden="false" customHeight="false" outlineLevel="0" collapsed="false">
      <c r="A7" s="2" t="str">
        <f aca="false">IFERROR(__xludf.dummyfunction("""COMPUTED_VALUE"""),"HFI/KAN/1159")</f>
        <v>HFI/KAN/1159</v>
      </c>
      <c r="B7" s="2" t="str">
        <f aca="false">IFERROR(__xludf.dummyfunction("""COMPUTED_VALUE"""),"Bandhana")</f>
        <v>Bandhana</v>
      </c>
      <c r="C7" s="2" t="str">
        <f aca="false">IFERROR(__xludf.dummyfunction("""COMPUTED_VALUE"""),"Operations Manager")</f>
        <v>Operations Manager</v>
      </c>
      <c r="D7" s="2" t="str">
        <f aca="false">IFERROR(__xludf.dummyfunction("""COMPUTED_VALUE"""),"The Pearl")</f>
        <v>The Pearl</v>
      </c>
      <c r="E7" s="16" t="n">
        <f aca="false">IFERROR(__xludf.dummyfunction("""COMPUTED_VALUE"""),43611)</f>
        <v>43611</v>
      </c>
      <c r="F7" s="9" t="n">
        <f aca="false">IFERROR(__xludf.dummyfunction("""COMPUTED_VALUE"""),40000)</f>
        <v>40000</v>
      </c>
      <c r="G7" s="2" t="n">
        <f aca="false">IFERROR(__xludf.dummyfunction("""COMPUTED_VALUE"""),30)</f>
        <v>30</v>
      </c>
      <c r="H7" s="2" t="n">
        <f aca="false">IFERROR(__xludf.dummyfunction("""COMPUTED_VALUE"""),30)</f>
        <v>30</v>
      </c>
      <c r="I7" s="9" t="n">
        <f aca="false">IFERROR(__xludf.dummyfunction("""COMPUTED_VALUE"""),480000)</f>
        <v>480000</v>
      </c>
      <c r="J7" s="9" t="n">
        <f aca="false">IFERROR(__xludf.dummyfunction("""COMPUTED_VALUE"""),668)</f>
        <v>668</v>
      </c>
      <c r="K7" s="9"/>
      <c r="L7" s="9" t="n">
        <f aca="false">IFERROR(__xludf.dummyfunction("""COMPUTED_VALUE"""),0)</f>
        <v>0</v>
      </c>
      <c r="M7" s="9"/>
    </row>
    <row r="8" customFormat="false" ht="15.75" hidden="false" customHeight="false" outlineLevel="0" collapsed="false">
      <c r="A8" s="2" t="str">
        <f aca="false">IFERROR(__xludf.dummyfunction("""COMPUTED_VALUE"""),"HFI/KAN/1180")</f>
        <v>HFI/KAN/1180</v>
      </c>
      <c r="B8" s="2" t="str">
        <f aca="false">IFERROR(__xludf.dummyfunction("""COMPUTED_VALUE"""),"Tripurana Durgaprasad")</f>
        <v>Tripurana Durgaprasad</v>
      </c>
      <c r="C8" s="2" t="str">
        <f aca="false">IFERROR(__xludf.dummyfunction("""COMPUTED_VALUE"""),"House keeping executive")</f>
        <v>House keeping executive</v>
      </c>
      <c r="D8" s="2" t="str">
        <f aca="false">IFERROR(__xludf.dummyfunction("""COMPUTED_VALUE"""),"The Pearl")</f>
        <v>The Pearl</v>
      </c>
      <c r="E8" s="16" t="n">
        <f aca="false">IFERROR(__xludf.dummyfunction("""COMPUTED_VALUE"""),43672)</f>
        <v>43672</v>
      </c>
      <c r="F8" s="9" t="n">
        <f aca="false">IFERROR(__xludf.dummyfunction("""COMPUTED_VALUE"""),13000)</f>
        <v>13000</v>
      </c>
      <c r="G8" s="2" t="n">
        <f aca="false">IFERROR(__xludf.dummyfunction("""COMPUTED_VALUE"""),30)</f>
        <v>30</v>
      </c>
      <c r="H8" s="2" t="n">
        <f aca="false">IFERROR(__xludf.dummyfunction("""COMPUTED_VALUE"""),30)</f>
        <v>30</v>
      </c>
      <c r="I8" s="9" t="n">
        <f aca="false">IFERROR(__xludf.dummyfunction("""COMPUTED_VALUE"""),156000)</f>
        <v>156000</v>
      </c>
      <c r="J8" s="9" t="n">
        <f aca="false">IFERROR(__xludf.dummyfunction("""COMPUTED_VALUE"""),62)</f>
        <v>62</v>
      </c>
      <c r="K8" s="9"/>
      <c r="L8" s="9" t="n">
        <f aca="false">IFERROR(__xludf.dummyfunction("""COMPUTED_VALUE"""),0)</f>
        <v>0</v>
      </c>
      <c r="M8" s="9"/>
    </row>
    <row r="9" customFormat="false" ht="15.75" hidden="false" customHeight="false" outlineLevel="0" collapsed="false">
      <c r="A9" s="2" t="str">
        <f aca="false">IFERROR(__xludf.dummyfunction("""COMPUTED_VALUE"""),"HFI/KAN/1282")</f>
        <v>HFI/KAN/1282</v>
      </c>
      <c r="B9" s="2" t="str">
        <f aca="false">IFERROR(__xludf.dummyfunction("""COMPUTED_VALUE"""),"Guntaka Prasad")</f>
        <v>Guntaka Prasad</v>
      </c>
      <c r="C9" s="2" t="str">
        <f aca="false">IFERROR(__xludf.dummyfunction("""COMPUTED_VALUE"""),"Front Office - Executive")</f>
        <v>Front Office - Executive</v>
      </c>
      <c r="D9" s="2" t="str">
        <f aca="false">IFERROR(__xludf.dummyfunction("""COMPUTED_VALUE"""),"The Pearl")</f>
        <v>The Pearl</v>
      </c>
      <c r="E9" s="16" t="n">
        <f aca="false">IFERROR(__xludf.dummyfunction("""COMPUTED_VALUE"""),43764)</f>
        <v>43764</v>
      </c>
      <c r="F9" s="9" t="n">
        <f aca="false">IFERROR(__xludf.dummyfunction("""COMPUTED_VALUE"""),10000)</f>
        <v>10000</v>
      </c>
      <c r="G9" s="2" t="n">
        <f aca="false">IFERROR(__xludf.dummyfunction("""COMPUTED_VALUE"""),30)</f>
        <v>30</v>
      </c>
      <c r="H9" s="2" t="n">
        <f aca="false">IFERROR(__xludf.dummyfunction("""COMPUTED_VALUE"""),30)</f>
        <v>30</v>
      </c>
      <c r="I9" s="9" t="n">
        <f aca="false">IFERROR(__xludf.dummyfunction("""COMPUTED_VALUE"""),120000)</f>
        <v>120000</v>
      </c>
      <c r="J9" s="9" t="n">
        <f aca="false">IFERROR(__xludf.dummyfunction("""COMPUTED_VALUE"""),0)</f>
        <v>0</v>
      </c>
      <c r="K9" s="9"/>
      <c r="L9" s="9" t="n">
        <f aca="false">IFERROR(__xludf.dummyfunction("""COMPUTED_VALUE"""),0)</f>
        <v>0</v>
      </c>
      <c r="M9" s="9"/>
    </row>
    <row r="10" customFormat="false" ht="15.75" hidden="false" customHeight="false" outlineLevel="0" collapsed="false">
      <c r="A10" s="2" t="str">
        <f aca="false">IFERROR(__xludf.dummyfunction("""COMPUTED_VALUE"""),"False/KAN/1341")</f>
        <v>False/KAN/1341</v>
      </c>
      <c r="B10" s="2" t="str">
        <f aca="false">IFERROR(__xludf.dummyfunction("""COMPUTED_VALUE"""),"Mohd Abdul Rahman")</f>
        <v>Mohd Abdul Rahman</v>
      </c>
      <c r="C10" s="2" t="str">
        <f aca="false">IFERROR(__xludf.dummyfunction("""COMPUTED_VALUE"""),"Front Office Executive")</f>
        <v>Front Office Executive</v>
      </c>
      <c r="D10" s="2" t="str">
        <f aca="false">IFERROR(__xludf.dummyfunction("""COMPUTED_VALUE"""),"The Pearl")</f>
        <v>The Pearl</v>
      </c>
      <c r="E10" s="16" t="n">
        <f aca="false">IFERROR(__xludf.dummyfunction("""COMPUTED_VALUE"""),43814)</f>
        <v>43814</v>
      </c>
      <c r="F10" s="9" t="n">
        <f aca="false">IFERROR(__xludf.dummyfunction("""COMPUTED_VALUE"""),10000)</f>
        <v>10000</v>
      </c>
      <c r="G10" s="2" t="n">
        <f aca="false">IFERROR(__xludf.dummyfunction("""COMPUTED_VALUE"""),30)</f>
        <v>30</v>
      </c>
      <c r="H10" s="2" t="n">
        <f aca="false">IFERROR(__xludf.dummyfunction("""COMPUTED_VALUE"""),30)</f>
        <v>30</v>
      </c>
      <c r="I10" s="9" t="n">
        <f aca="false">IFERROR(__xludf.dummyfunction("""COMPUTED_VALUE"""),120000)</f>
        <v>120000</v>
      </c>
      <c r="J10" s="9" t="n">
        <f aca="false">IFERROR(__xludf.dummyfunction("""COMPUTED_VALUE"""),62)</f>
        <v>62</v>
      </c>
      <c r="K10" s="9"/>
      <c r="L10" s="9" t="n">
        <f aca="false">IFERROR(__xludf.dummyfunction("""COMPUTED_VALUE"""),0)</f>
        <v>0</v>
      </c>
      <c r="M10" s="9"/>
    </row>
    <row r="11" customFormat="false" ht="15.75" hidden="false" customHeight="false" outlineLevel="0" collapsed="false">
      <c r="A11" s="2" t="str">
        <f aca="false">IFERROR(__xludf.dummyfunction("""COMPUTED_VALUE"""),"AAR/KAN/1361")</f>
        <v>AAR/KAN/1361</v>
      </c>
      <c r="B11" s="2" t="str">
        <f aca="false">IFERROR(__xludf.dummyfunction("""COMPUTED_VALUE"""),"Surapu Venkataramana")</f>
        <v>Surapu Venkataramana</v>
      </c>
      <c r="C11" s="2" t="str">
        <f aca="false">IFERROR(__xludf.dummyfunction("""COMPUTED_VALUE"""),"Front Office Executive")</f>
        <v>Front Office Executive</v>
      </c>
      <c r="D11" s="2" t="str">
        <f aca="false">IFERROR(__xludf.dummyfunction("""COMPUTED_VALUE"""),"The Pearl")</f>
        <v>The Pearl</v>
      </c>
      <c r="E11" s="16" t="n">
        <f aca="false">IFERROR(__xludf.dummyfunction("""COMPUTED_VALUE"""),43825)</f>
        <v>43825</v>
      </c>
      <c r="F11" s="9" t="n">
        <f aca="false">IFERROR(__xludf.dummyfunction("""COMPUTED_VALUE"""),13000)</f>
        <v>13000</v>
      </c>
      <c r="G11" s="2" t="n">
        <f aca="false">IFERROR(__xludf.dummyfunction("""COMPUTED_VALUE"""),30)</f>
        <v>30</v>
      </c>
      <c r="H11" s="2" t="n">
        <f aca="false">IFERROR(__xludf.dummyfunction("""COMPUTED_VALUE"""),30)</f>
        <v>30</v>
      </c>
      <c r="I11" s="9" t="n">
        <f aca="false">IFERROR(__xludf.dummyfunction("""COMPUTED_VALUE"""),156000)</f>
        <v>156000</v>
      </c>
      <c r="J11" s="9" t="n">
        <f aca="false">IFERROR(__xludf.dummyfunction("""COMPUTED_VALUE"""),93)</f>
        <v>93</v>
      </c>
      <c r="K11" s="9"/>
      <c r="L11" s="9" t="n">
        <f aca="false">IFERROR(__xludf.dummyfunction("""COMPUTED_VALUE"""),0)</f>
        <v>0</v>
      </c>
      <c r="M11" s="9"/>
    </row>
    <row r="12" customFormat="false" ht="15.75" hidden="false" customHeight="false" outlineLevel="0" collapsed="false">
      <c r="A12" s="2" t="str">
        <f aca="false">IFERROR(__xludf.dummyfunction("""COMPUTED_VALUE"""),"SMC/BMA/0356")</f>
        <v>SMC/BMA/0356</v>
      </c>
      <c r="B12" s="2" t="str">
        <f aca="false">IFERROR(__xludf.dummyfunction("""COMPUTED_VALUE"""),"Rahul Kumar")</f>
        <v>Rahul Kumar</v>
      </c>
      <c r="C12" s="2" t="str">
        <f aca="false">IFERROR(__xludf.dummyfunction("""COMPUTED_VALUE"""),"Chef")</f>
        <v>Chef</v>
      </c>
      <c r="D12" s="2" t="str">
        <f aca="false">IFERROR(__xludf.dummyfunction("""COMPUTED_VALUE"""),"The Pearl")</f>
        <v>The Pearl</v>
      </c>
      <c r="E12" s="16" t="n">
        <f aca="false">IFERROR(__xludf.dummyfunction("""COMPUTED_VALUE"""),43009)</f>
        <v>43009</v>
      </c>
      <c r="F12" s="9" t="n">
        <f aca="false">IFERROR(__xludf.dummyfunction("""COMPUTED_VALUE"""),22000)</f>
        <v>22000</v>
      </c>
      <c r="G12" s="2" t="n">
        <f aca="false">IFERROR(__xludf.dummyfunction("""COMPUTED_VALUE"""),30)</f>
        <v>30</v>
      </c>
      <c r="H12" s="2" t="n">
        <f aca="false">IFERROR(__xludf.dummyfunction("""COMPUTED_VALUE"""),30)</f>
        <v>30</v>
      </c>
      <c r="I12" s="9" t="n">
        <f aca="false">IFERROR(__xludf.dummyfunction("""COMPUTED_VALUE"""),264000)</f>
        <v>264000</v>
      </c>
      <c r="J12" s="9" t="n">
        <f aca="false">IFERROR(__xludf.dummyfunction("""COMPUTED_VALUE"""),187)</f>
        <v>187</v>
      </c>
      <c r="K12" s="9"/>
      <c r="L12" s="9" t="n">
        <f aca="false">IFERROR(__xludf.dummyfunction("""COMPUTED_VALUE"""),0)</f>
        <v>0</v>
      </c>
      <c r="M12" s="9"/>
    </row>
    <row r="13" customFormat="false" ht="15.75" hidden="false" customHeight="false" outlineLevel="0" collapsed="false">
      <c r="A13" s="2" t="str">
        <f aca="false">IFERROR(__xludf.dummyfunction("""COMPUTED_VALUE"""),"HFI/KAN/0966")</f>
        <v>HFI/KAN/0966</v>
      </c>
      <c r="B13" s="2" t="str">
        <f aca="false">IFERROR(__xludf.dummyfunction("""COMPUTED_VALUE"""),"Dokala Ramakrishna")</f>
        <v>Dokala Ramakrishna</v>
      </c>
      <c r="C13" s="2" t="str">
        <f aca="false">IFERROR(__xludf.dummyfunction("""COMPUTED_VALUE"""),"HK - Supervisor")</f>
        <v>HK - Supervisor</v>
      </c>
      <c r="D13" s="2" t="str">
        <f aca="false">IFERROR(__xludf.dummyfunction("""COMPUTED_VALUE"""),"The Pearl")</f>
        <v>The Pearl</v>
      </c>
      <c r="E13" s="16" t="n">
        <f aca="false">IFERROR(__xludf.dummyfunction("""COMPUTED_VALUE"""),43916)</f>
        <v>43916</v>
      </c>
      <c r="F13" s="9" t="n">
        <f aca="false">IFERROR(__xludf.dummyfunction("""COMPUTED_VALUE"""),13000)</f>
        <v>13000</v>
      </c>
      <c r="G13" s="2" t="n">
        <f aca="false">IFERROR(__xludf.dummyfunction("""COMPUTED_VALUE"""),30)</f>
        <v>30</v>
      </c>
      <c r="H13" s="2" t="n">
        <f aca="false">IFERROR(__xludf.dummyfunction("""COMPUTED_VALUE"""),30)</f>
        <v>30</v>
      </c>
      <c r="I13" s="9" t="n">
        <f aca="false">IFERROR(__xludf.dummyfunction("""COMPUTED_VALUE"""),156000)</f>
        <v>156000</v>
      </c>
      <c r="J13" s="9" t="n">
        <f aca="false">IFERROR(__xludf.dummyfunction("""COMPUTED_VALUE"""),62)</f>
        <v>62</v>
      </c>
      <c r="K13" s="9"/>
      <c r="L13" s="9" t="n">
        <f aca="false">IFERROR(__xludf.dummyfunction("""COMPUTED_VALUE"""),0)</f>
        <v>0</v>
      </c>
      <c r="M13" s="9"/>
    </row>
    <row r="14" customFormat="false" ht="15.75" hidden="false" customHeight="false" outlineLevel="0" collapsed="false">
      <c r="A14" s="2" t="str">
        <f aca="false">IFERROR(__xludf.dummyfunction("""COMPUTED_VALUE"""),"SMSF/KAN/1513")</f>
        <v>SMSF/KAN/1513</v>
      </c>
      <c r="B14" s="2" t="str">
        <f aca="false">IFERROR(__xludf.dummyfunction("""COMPUTED_VALUE"""),"Kolluri Mahesh")</f>
        <v>Kolluri Mahesh</v>
      </c>
      <c r="C14" s="2" t="str">
        <f aca="false">IFERROR(__xludf.dummyfunction("""COMPUTED_VALUE"""),"Lab Technician")</f>
        <v>Lab Technician</v>
      </c>
      <c r="D14" s="2" t="str">
        <f aca="false">IFERROR(__xludf.dummyfunction("""COMPUTED_VALUE""")," Medical Centre")</f>
        <v> Medical Centre</v>
      </c>
      <c r="E14" s="16" t="n">
        <f aca="false">IFERROR(__xludf.dummyfunction("""COMPUTED_VALUE"""),44038)</f>
        <v>44038</v>
      </c>
      <c r="F14" s="9" t="n">
        <f aca="false">IFERROR(__xludf.dummyfunction("""COMPUTED_VALUE"""),14000)</f>
        <v>14000</v>
      </c>
      <c r="G14" s="2" t="n">
        <f aca="false">IFERROR(__xludf.dummyfunction("""COMPUTED_VALUE"""),30)</f>
        <v>30</v>
      </c>
      <c r="H14" s="2" t="n">
        <f aca="false">IFERROR(__xludf.dummyfunction("""COMPUTED_VALUE"""),30)</f>
        <v>30</v>
      </c>
      <c r="I14" s="9" t="n">
        <f aca="false">IFERROR(__xludf.dummyfunction("""COMPUTED_VALUE"""),168000)</f>
        <v>168000</v>
      </c>
      <c r="J14" s="9" t="n">
        <f aca="false">IFERROR(__xludf.dummyfunction("""COMPUTED_VALUE"""),135)</f>
        <v>135</v>
      </c>
      <c r="K14" s="9"/>
      <c r="L14" s="9" t="n">
        <f aca="false">IFERROR(__xludf.dummyfunction("""COMPUTED_VALUE"""),0)</f>
        <v>0</v>
      </c>
      <c r="M14" s="9"/>
    </row>
    <row r="15" customFormat="false" ht="15.75" hidden="false" customHeight="false" outlineLevel="0" collapsed="false">
      <c r="A15" s="2" t="str">
        <f aca="false">IFERROR(__xludf.dummyfunction("""COMPUTED_VALUE"""),"AAR/KAN/1518")</f>
        <v>AAR/KAN/1518</v>
      </c>
      <c r="B15" s="2" t="str">
        <f aca="false">IFERROR(__xludf.dummyfunction("""COMPUTED_VALUE"""),"Nampelli Jyoshna")</f>
        <v>Nampelli Jyoshna</v>
      </c>
      <c r="C15" s="2" t="str">
        <f aca="false">IFERROR(__xludf.dummyfunction("""COMPUTED_VALUE"""),"Staff Nurse")</f>
        <v>Staff Nurse</v>
      </c>
      <c r="D15" s="2" t="str">
        <f aca="false">IFERROR(__xludf.dummyfunction("""COMPUTED_VALUE""")," Medical Centre")</f>
        <v> Medical Centre</v>
      </c>
      <c r="E15" s="16" t="n">
        <f aca="false">IFERROR(__xludf.dummyfunction("""COMPUTED_VALUE"""),44038)</f>
        <v>44038</v>
      </c>
      <c r="F15" s="9" t="n">
        <f aca="false">IFERROR(__xludf.dummyfunction("""COMPUTED_VALUE"""),17000)</f>
        <v>17000</v>
      </c>
      <c r="G15" s="2" t="n">
        <f aca="false">IFERROR(__xludf.dummyfunction("""COMPUTED_VALUE"""),30)</f>
        <v>30</v>
      </c>
      <c r="H15" s="2" t="n">
        <f aca="false">IFERROR(__xludf.dummyfunction("""COMPUTED_VALUE"""),30)</f>
        <v>30</v>
      </c>
      <c r="I15" s="9" t="n">
        <f aca="false">IFERROR(__xludf.dummyfunction("""COMPUTED_VALUE"""),204000)</f>
        <v>204000</v>
      </c>
      <c r="J15" s="9" t="n">
        <f aca="false">IFERROR(__xludf.dummyfunction("""COMPUTED_VALUE"""),0)</f>
        <v>0</v>
      </c>
      <c r="K15" s="9"/>
      <c r="L15" s="9" t="n">
        <f aca="false">IFERROR(__xludf.dummyfunction("""COMPUTED_VALUE"""),0)</f>
        <v>0</v>
      </c>
      <c r="M15" s="9"/>
    </row>
    <row r="16" customFormat="false" ht="15.75" hidden="false" customHeight="false" outlineLevel="0" collapsed="false">
      <c r="A16" s="2" t="str">
        <f aca="false">IFERROR(__xludf.dummyfunction("""COMPUTED_VALUE"""),"BNM/KAN/0268")</f>
        <v>BNM/KAN/0268</v>
      </c>
      <c r="B16" s="2" t="str">
        <f aca="false">IFERROR(__xludf.dummyfunction("""COMPUTED_VALUE"""),"Pinky Sureka")</f>
        <v>Pinky Sureka</v>
      </c>
      <c r="C16" s="2" t="str">
        <f aca="false">IFERROR(__xludf.dummyfunction("""COMPUTED_VALUE"""),"Publication")</f>
        <v>Publication</v>
      </c>
      <c r="D16" s="2" t="str">
        <f aca="false">IFERROR(__xludf.dummyfunction("""COMPUTED_VALUE"""),"Kanha")</f>
        <v>Kanha</v>
      </c>
      <c r="E16" s="16" t="n">
        <f aca="false">IFERROR(__xludf.dummyfunction("""COMPUTED_VALUE"""),42278)</f>
        <v>42278</v>
      </c>
      <c r="F16" s="9" t="n">
        <f aca="false">IFERROR(__xludf.dummyfunction("""COMPUTED_VALUE"""),11000)</f>
        <v>11000</v>
      </c>
      <c r="G16" s="2" t="n">
        <f aca="false">IFERROR(__xludf.dummyfunction("""COMPUTED_VALUE"""),30)</f>
        <v>30</v>
      </c>
      <c r="H16" s="2" t="n">
        <f aca="false">IFERROR(__xludf.dummyfunction("""COMPUTED_VALUE"""),30)</f>
        <v>30</v>
      </c>
      <c r="I16" s="9" t="n">
        <f aca="false">IFERROR(__xludf.dummyfunction("""COMPUTED_VALUE"""),132000)</f>
        <v>132000</v>
      </c>
      <c r="J16" s="9" t="n">
        <f aca="false">IFERROR(__xludf.dummyfunction("""COMPUTED_VALUE"""),0)</f>
        <v>0</v>
      </c>
      <c r="K16" s="9"/>
      <c r="L16" s="9" t="n">
        <f aca="false">IFERROR(__xludf.dummyfunction("""COMPUTED_VALUE"""),0)</f>
        <v>0</v>
      </c>
      <c r="M16" s="9"/>
    </row>
    <row r="17" customFormat="false" ht="15.75" hidden="false" customHeight="false" outlineLevel="0" collapsed="false">
      <c r="A17" s="2" t="str">
        <f aca="false">IFERROR(__xludf.dummyfunction("""COMPUTED_VALUE"""),"BNM/KAN/0894")</f>
        <v>BNM/KAN/0894</v>
      </c>
      <c r="B17" s="2" t="str">
        <f aca="false">IFERROR(__xludf.dummyfunction("""COMPUTED_VALUE"""),"Yogesh Kumar DC")</f>
        <v>Yogesh Kumar DC</v>
      </c>
      <c r="C17" s="2" t="str">
        <f aca="false">IFERROR(__xludf.dummyfunction("""COMPUTED_VALUE"""),"Kanha-Bookstall")</f>
        <v>Kanha-Bookstall</v>
      </c>
      <c r="D17" s="2" t="str">
        <f aca="false">IFERROR(__xludf.dummyfunction("""COMPUTED_VALUE"""),"Kanha")</f>
        <v>Kanha</v>
      </c>
      <c r="E17" s="16" t="n">
        <f aca="false">IFERROR(__xludf.dummyfunction("""COMPUTED_VALUE"""),43266)</f>
        <v>43266</v>
      </c>
      <c r="F17" s="9" t="n">
        <f aca="false">IFERROR(__xludf.dummyfunction("""COMPUTED_VALUE"""),16125)</f>
        <v>16125</v>
      </c>
      <c r="G17" s="2" t="n">
        <f aca="false">IFERROR(__xludf.dummyfunction("""COMPUTED_VALUE"""),30)</f>
        <v>30</v>
      </c>
      <c r="H17" s="2" t="n">
        <f aca="false">IFERROR(__xludf.dummyfunction("""COMPUTED_VALUE"""),30)</f>
        <v>30</v>
      </c>
      <c r="I17" s="9" t="n">
        <f aca="false">IFERROR(__xludf.dummyfunction("""COMPUTED_VALUE"""),193500)</f>
        <v>193500</v>
      </c>
      <c r="J17" s="9" t="n">
        <f aca="false">IFERROR(__xludf.dummyfunction("""COMPUTED_VALUE"""),181)</f>
        <v>181</v>
      </c>
      <c r="K17" s="9"/>
      <c r="L17" s="9" t="n">
        <f aca="false">IFERROR(__xludf.dummyfunction("""COMPUTED_VALUE"""),0)</f>
        <v>0</v>
      </c>
      <c r="M17" s="9"/>
    </row>
    <row r="18" customFormat="false" ht="15.75" hidden="false" customHeight="false" outlineLevel="0" collapsed="false">
      <c r="A18" s="2" t="str">
        <f aca="false">IFERROR(__xludf.dummyfunction("""COMPUTED_VALUE"""),"BNM/KAN/1200")</f>
        <v>BNM/KAN/1200</v>
      </c>
      <c r="B18" s="2" t="str">
        <f aca="false">IFERROR(__xludf.dummyfunction("""COMPUTED_VALUE"""),"Soumya")</f>
        <v>Soumya</v>
      </c>
      <c r="C18" s="2" t="str">
        <f aca="false">IFERROR(__xludf.dummyfunction("""COMPUTED_VALUE"""),"Kanha-Bookstall")</f>
        <v>Kanha-Bookstall</v>
      </c>
      <c r="D18" s="2" t="str">
        <f aca="false">IFERROR(__xludf.dummyfunction("""COMPUTED_VALUE"""),"Kanha")</f>
        <v>Kanha</v>
      </c>
      <c r="E18" s="16" t="n">
        <f aca="false">IFERROR(__xludf.dummyfunction("""COMPUTED_VALUE"""),43445)</f>
        <v>43445</v>
      </c>
      <c r="F18" s="9" t="n">
        <f aca="false">IFERROR(__xludf.dummyfunction("""COMPUTED_VALUE"""),14000)</f>
        <v>14000</v>
      </c>
      <c r="G18" s="2" t="n">
        <f aca="false">IFERROR(__xludf.dummyfunction("""COMPUTED_VALUE"""),30)</f>
        <v>30</v>
      </c>
      <c r="H18" s="2" t="n">
        <f aca="false">IFERROR(__xludf.dummyfunction("""COMPUTED_VALUE"""),30)</f>
        <v>30</v>
      </c>
      <c r="I18" s="9" t="n">
        <f aca="false">IFERROR(__xludf.dummyfunction("""COMPUTED_VALUE"""),168000)</f>
        <v>168000</v>
      </c>
      <c r="J18" s="9" t="n">
        <f aca="false">IFERROR(__xludf.dummyfunction("""COMPUTED_VALUE"""),60)</f>
        <v>60</v>
      </c>
      <c r="K18" s="9"/>
      <c r="L18" s="9" t="n">
        <f aca="false">IFERROR(__xludf.dummyfunction("""COMPUTED_VALUE"""),0)</f>
        <v>0</v>
      </c>
      <c r="M18" s="9"/>
    </row>
    <row r="19" customFormat="false" ht="15.75" hidden="false" customHeight="false" outlineLevel="0" collapsed="false">
      <c r="A19" s="2" t="str">
        <f aca="false">IFERROR(__xludf.dummyfunction("""COMPUTED_VALUE"""),"BNM/KAN/1218")</f>
        <v>BNM/KAN/1218</v>
      </c>
      <c r="B19" s="2" t="str">
        <f aca="false">IFERROR(__xludf.dummyfunction("""COMPUTED_VALUE"""),"Shalini")</f>
        <v>Shalini</v>
      </c>
      <c r="C19" s="2" t="str">
        <f aca="false">IFERROR(__xludf.dummyfunction("""COMPUTED_VALUE"""),"Merchandize")</f>
        <v>Merchandize</v>
      </c>
      <c r="D19" s="2" t="str">
        <f aca="false">IFERROR(__xludf.dummyfunction("""COMPUTED_VALUE"""),"Kanha")</f>
        <v>Kanha</v>
      </c>
      <c r="E19" s="16" t="n">
        <f aca="false">IFERROR(__xludf.dummyfunction("""COMPUTED_VALUE"""),43696)</f>
        <v>43696</v>
      </c>
      <c r="F19" s="9" t="n">
        <f aca="false">IFERROR(__xludf.dummyfunction("""COMPUTED_VALUE"""),10000)</f>
        <v>10000</v>
      </c>
      <c r="G19" s="2" t="n">
        <f aca="false">IFERROR(__xludf.dummyfunction("""COMPUTED_VALUE"""),30)</f>
        <v>30</v>
      </c>
      <c r="H19" s="2" t="n">
        <f aca="false">IFERROR(__xludf.dummyfunction("""COMPUTED_VALUE"""),30)</f>
        <v>30</v>
      </c>
      <c r="I19" s="9" t="n">
        <f aca="false">IFERROR(__xludf.dummyfunction("""COMPUTED_VALUE"""),120000)</f>
        <v>120000</v>
      </c>
      <c r="J19" s="9" t="n">
        <f aca="false">IFERROR(__xludf.dummyfunction("""COMPUTED_VALUE"""),181)</f>
        <v>181</v>
      </c>
      <c r="K19" s="9"/>
      <c r="L19" s="9" t="n">
        <f aca="false">IFERROR(__xludf.dummyfunction("""COMPUTED_VALUE"""),0)</f>
        <v>0</v>
      </c>
      <c r="M19" s="9"/>
    </row>
    <row r="20" customFormat="false" ht="15.75" hidden="false" customHeight="false" outlineLevel="0" collapsed="false">
      <c r="A20" s="2" t="str">
        <f aca="false">IFERROR(__xludf.dummyfunction("""COMPUTED_VALUE"""),"SMSF/KAN/0213")</f>
        <v>SMSF/KAN/0213</v>
      </c>
      <c r="B20" s="2" t="str">
        <f aca="false">IFERROR(__xludf.dummyfunction("""COMPUTED_VALUE"""),"G KAMARAJ")</f>
        <v>G KAMARAJ</v>
      </c>
      <c r="C20" s="2" t="str">
        <f aca="false">IFERROR(__xludf.dummyfunction("""COMPUTED_VALUE"""),"Kanha-Accounts")</f>
        <v>Kanha-Accounts</v>
      </c>
      <c r="D20" s="2" t="str">
        <f aca="false">IFERROR(__xludf.dummyfunction("""COMPUTED_VALUE"""),"Kanha")</f>
        <v>Kanha</v>
      </c>
      <c r="E20" s="16" t="n">
        <f aca="false">IFERROR(__xludf.dummyfunction("""COMPUTED_VALUE"""),42529)</f>
        <v>42529</v>
      </c>
      <c r="F20" s="9" t="n">
        <f aca="false">IFERROR(__xludf.dummyfunction("""COMPUTED_VALUE"""),20160)</f>
        <v>20160</v>
      </c>
      <c r="G20" s="2" t="n">
        <f aca="false">IFERROR(__xludf.dummyfunction("""COMPUTED_VALUE"""),30)</f>
        <v>30</v>
      </c>
      <c r="H20" s="2" t="n">
        <f aca="false">IFERROR(__xludf.dummyfunction("""COMPUTED_VALUE"""),30)</f>
        <v>30</v>
      </c>
      <c r="I20" s="9" t="n">
        <f aca="false">IFERROR(__xludf.dummyfunction("""COMPUTED_VALUE"""),241920)</f>
        <v>241920</v>
      </c>
      <c r="J20" s="9" t="n">
        <f aca="false">IFERROR(__xludf.dummyfunction("""COMPUTED_VALUE"""),203)</f>
        <v>203</v>
      </c>
      <c r="K20" s="9"/>
      <c r="L20" s="9" t="n">
        <f aca="false">IFERROR(__xludf.dummyfunction("""COMPUTED_VALUE"""),0)</f>
        <v>0</v>
      </c>
      <c r="M20" s="9"/>
    </row>
    <row r="21" customFormat="false" ht="15.75" hidden="false" customHeight="false" outlineLevel="0" collapsed="false">
      <c r="A21" s="2" t="str">
        <f aca="false">IFERROR(__xludf.dummyfunction("""COMPUTED_VALUE"""),"SMSF/KAN/0457")</f>
        <v>SMSF/KAN/0457</v>
      </c>
      <c r="B21" s="2" t="str">
        <f aca="false">IFERROR(__xludf.dummyfunction("""COMPUTED_VALUE"""),"Kuppuraj. S")</f>
        <v>Kuppuraj. S</v>
      </c>
      <c r="C21" s="2" t="str">
        <f aca="false">IFERROR(__xludf.dummyfunction("""COMPUTED_VALUE"""),"Kanha-Accounts")</f>
        <v>Kanha-Accounts</v>
      </c>
      <c r="D21" s="2" t="str">
        <f aca="false">IFERROR(__xludf.dummyfunction("""COMPUTED_VALUE"""),"Kanha")</f>
        <v>Kanha</v>
      </c>
      <c r="E21" s="16" t="n">
        <f aca="false">IFERROR(__xludf.dummyfunction("""COMPUTED_VALUE"""),43137)</f>
        <v>43137</v>
      </c>
      <c r="F21" s="9" t="n">
        <f aca="false">IFERROR(__xludf.dummyfunction("""COMPUTED_VALUE"""),10000)</f>
        <v>10000</v>
      </c>
      <c r="G21" s="2" t="n">
        <f aca="false">IFERROR(__xludf.dummyfunction("""COMPUTED_VALUE"""),30)</f>
        <v>30</v>
      </c>
      <c r="H21" s="2" t="n">
        <f aca="false">IFERROR(__xludf.dummyfunction("""COMPUTED_VALUE"""),30)</f>
        <v>30</v>
      </c>
      <c r="I21" s="9" t="n">
        <f aca="false">IFERROR(__xludf.dummyfunction("""COMPUTED_VALUE"""),120000)</f>
        <v>120000</v>
      </c>
      <c r="J21" s="9" t="n">
        <f aca="false">IFERROR(__xludf.dummyfunction("""COMPUTED_VALUE"""),92)</f>
        <v>92</v>
      </c>
      <c r="K21" s="9"/>
      <c r="L21" s="9" t="n">
        <f aca="false">IFERROR(__xludf.dummyfunction("""COMPUTED_VALUE"""),0)</f>
        <v>0</v>
      </c>
      <c r="M21" s="9"/>
    </row>
    <row r="22" customFormat="false" ht="15.75" hidden="false" customHeight="false" outlineLevel="0" collapsed="false">
      <c r="A22" s="2" t="str">
        <f aca="false">IFERROR(__xludf.dummyfunction("""COMPUTED_VALUE"""),"SRCM/BMA/0159")</f>
        <v>SRCM/BMA/0159</v>
      </c>
      <c r="B22" s="2" t="str">
        <f aca="false">IFERROR(__xludf.dummyfunction("""COMPUTED_VALUE"""),"YASODA E")</f>
        <v>YASODA E</v>
      </c>
      <c r="C22" s="2" t="str">
        <f aca="false">IFERROR(__xludf.dummyfunction("""COMPUTED_VALUE"""),"Kanha-Accounts")</f>
        <v>Kanha-Accounts</v>
      </c>
      <c r="D22" s="2" t="str">
        <f aca="false">IFERROR(__xludf.dummyfunction("""COMPUTED_VALUE"""),"Kanha")</f>
        <v>Kanha</v>
      </c>
      <c r="E22" s="16" t="n">
        <f aca="false">IFERROR(__xludf.dummyfunction("""COMPUTED_VALUE"""),42795)</f>
        <v>42795</v>
      </c>
      <c r="F22" s="9" t="n">
        <f aca="false">IFERROR(__xludf.dummyfunction("""COMPUTED_VALUE"""),9765)</f>
        <v>9765</v>
      </c>
      <c r="G22" s="2" t="n">
        <f aca="false">IFERROR(__xludf.dummyfunction("""COMPUTED_VALUE"""),30)</f>
        <v>30</v>
      </c>
      <c r="H22" s="2" t="n">
        <f aca="false">IFERROR(__xludf.dummyfunction("""COMPUTED_VALUE"""),30)</f>
        <v>30</v>
      </c>
      <c r="I22" s="9" t="n">
        <f aca="false">IFERROR(__xludf.dummyfunction("""COMPUTED_VALUE"""),117180)</f>
        <v>117180</v>
      </c>
      <c r="J22" s="9" t="n">
        <f aca="false">IFERROR(__xludf.dummyfunction("""COMPUTED_VALUE"""),0)</f>
        <v>0</v>
      </c>
      <c r="K22" s="9"/>
      <c r="L22" s="9" t="n">
        <f aca="false">IFERROR(__xludf.dummyfunction("""COMPUTED_VALUE"""),0)</f>
        <v>0</v>
      </c>
      <c r="M22" s="9"/>
    </row>
    <row r="23" customFormat="false" ht="15.75" hidden="false" customHeight="false" outlineLevel="0" collapsed="false">
      <c r="A23" s="2" t="str">
        <f aca="false">IFERROR(__xludf.dummyfunction("""COMPUTED_VALUE"""),"SMSF/KAN/0377")</f>
        <v>SMSF/KAN/0377</v>
      </c>
      <c r="B23" s="2" t="str">
        <f aca="false">IFERROR(__xludf.dummyfunction("""COMPUTED_VALUE"""),"Tamil Arasan")</f>
        <v>Tamil Arasan</v>
      </c>
      <c r="C23" s="2" t="str">
        <f aca="false">IFERROR(__xludf.dummyfunction("""COMPUTED_VALUE"""),"Kanha-Accounts")</f>
        <v>Kanha-Accounts</v>
      </c>
      <c r="D23" s="2" t="str">
        <f aca="false">IFERROR(__xludf.dummyfunction("""COMPUTED_VALUE"""),"Kanha")</f>
        <v>Kanha</v>
      </c>
      <c r="E23" s="16" t="n">
        <f aca="false">IFERROR(__xludf.dummyfunction("""COMPUTED_VALUE"""),43065)</f>
        <v>43065</v>
      </c>
      <c r="F23" s="9" t="n">
        <f aca="false">IFERROR(__xludf.dummyfunction("""COMPUTED_VALUE"""),12500)</f>
        <v>12500</v>
      </c>
      <c r="G23" s="2" t="n">
        <f aca="false">IFERROR(__xludf.dummyfunction("""COMPUTED_VALUE"""),30)</f>
        <v>30</v>
      </c>
      <c r="H23" s="2" t="n">
        <f aca="false">IFERROR(__xludf.dummyfunction("""COMPUTED_VALUE"""),30)</f>
        <v>30</v>
      </c>
      <c r="I23" s="9" t="n">
        <f aca="false">IFERROR(__xludf.dummyfunction("""COMPUTED_VALUE"""),150000)</f>
        <v>150000</v>
      </c>
      <c r="J23" s="9" t="n">
        <f aca="false">IFERROR(__xludf.dummyfunction("""COMPUTED_VALUE"""),61)</f>
        <v>61</v>
      </c>
      <c r="K23" s="9"/>
      <c r="L23" s="9" t="n">
        <f aca="false">IFERROR(__xludf.dummyfunction("""COMPUTED_VALUE"""),0)</f>
        <v>0</v>
      </c>
      <c r="M23" s="9"/>
    </row>
    <row r="24" customFormat="false" ht="15.75" hidden="false" customHeight="false" outlineLevel="0" collapsed="false">
      <c r="A24" s="2" t="str">
        <f aca="false">IFERROR(__xludf.dummyfunction("""COMPUTED_VALUE"""),"SRCM/BMA/0293")</f>
        <v>SRCM/BMA/0293</v>
      </c>
      <c r="B24" s="2" t="str">
        <f aca="false">IFERROR(__xludf.dummyfunction("""COMPUTED_VALUE"""),"MUKESH")</f>
        <v>MUKESH</v>
      </c>
      <c r="C24" s="2" t="str">
        <f aca="false">IFERROR(__xludf.dummyfunction("""COMPUTED_VALUE"""),"Kanha-Bedding counter")</f>
        <v>Kanha-Bedding counter</v>
      </c>
      <c r="D24" s="2" t="str">
        <f aca="false">IFERROR(__xludf.dummyfunction("""COMPUTED_VALUE"""),"Kanha")</f>
        <v>Kanha</v>
      </c>
      <c r="E24" s="16" t="n">
        <f aca="false">IFERROR(__xludf.dummyfunction("""COMPUTED_VALUE"""),41579)</f>
        <v>41579</v>
      </c>
      <c r="F24" s="9" t="n">
        <f aca="false">IFERROR(__xludf.dummyfunction("""COMPUTED_VALUE"""),10850)</f>
        <v>10850</v>
      </c>
      <c r="G24" s="2" t="n">
        <f aca="false">IFERROR(__xludf.dummyfunction("""COMPUTED_VALUE"""),30)</f>
        <v>30</v>
      </c>
      <c r="H24" s="2" t="n">
        <f aca="false">IFERROR(__xludf.dummyfunction("""COMPUTED_VALUE"""),30)</f>
        <v>30</v>
      </c>
      <c r="I24" s="9" t="n">
        <f aca="false">IFERROR(__xludf.dummyfunction("""COMPUTED_VALUE"""),130200)</f>
        <v>130200</v>
      </c>
      <c r="J24" s="9" t="n">
        <f aca="false">IFERROR(__xludf.dummyfunction("""COMPUTED_VALUE"""),92)</f>
        <v>92</v>
      </c>
      <c r="K24" s="9"/>
      <c r="L24" s="9" t="n">
        <f aca="false">IFERROR(__xludf.dummyfunction("""COMPUTED_VALUE"""),0)</f>
        <v>0</v>
      </c>
      <c r="M24" s="9"/>
    </row>
    <row r="25" customFormat="false" ht="15.75" hidden="false" customHeight="false" outlineLevel="0" collapsed="false">
      <c r="A25" s="2" t="str">
        <f aca="false">IFERROR(__xludf.dummyfunction("""COMPUTED_VALUE"""),"SMSF/KAN/0658")</f>
        <v>SMSF/KAN/0658</v>
      </c>
      <c r="B25" s="2" t="str">
        <f aca="false">IFERROR(__xludf.dummyfunction("""COMPUTED_VALUE"""),"ARUKALA SUNANDA")</f>
        <v>ARUKALA SUNANDA</v>
      </c>
      <c r="C25" s="2" t="str">
        <f aca="false">IFERROR(__xludf.dummyfunction("""COMPUTED_VALUE"""),"Kanha-Front Office")</f>
        <v>Kanha-Front Office</v>
      </c>
      <c r="D25" s="2" t="str">
        <f aca="false">IFERROR(__xludf.dummyfunction("""COMPUTED_VALUE"""),"Kanha")</f>
        <v>Kanha</v>
      </c>
      <c r="E25" s="16" t="n">
        <f aca="false">IFERROR(__xludf.dummyfunction("""COMPUTED_VALUE"""),42881)</f>
        <v>42881</v>
      </c>
      <c r="F25" s="9" t="n">
        <f aca="false">IFERROR(__xludf.dummyfunction("""COMPUTED_VALUE"""),8680)</f>
        <v>8680</v>
      </c>
      <c r="G25" s="2" t="n">
        <f aca="false">IFERROR(__xludf.dummyfunction("""COMPUTED_VALUE"""),30)</f>
        <v>30</v>
      </c>
      <c r="H25" s="2" t="n">
        <f aca="false">IFERROR(__xludf.dummyfunction("""COMPUTED_VALUE"""),30)</f>
        <v>30</v>
      </c>
      <c r="I25" s="9" t="n">
        <f aca="false">IFERROR(__xludf.dummyfunction("""COMPUTED_VALUE"""),104160)</f>
        <v>104160</v>
      </c>
      <c r="J25" s="9" t="n">
        <f aca="false">IFERROR(__xludf.dummyfunction("""COMPUTED_VALUE"""),0)</f>
        <v>0</v>
      </c>
      <c r="K25" s="9"/>
      <c r="L25" s="9" t="n">
        <f aca="false">IFERROR(__xludf.dummyfunction("""COMPUTED_VALUE"""),0)</f>
        <v>0</v>
      </c>
      <c r="M25" s="9"/>
    </row>
    <row r="26" customFormat="false" ht="15.75" hidden="false" customHeight="false" outlineLevel="0" collapsed="false">
      <c r="A26" s="2" t="str">
        <f aca="false">IFERROR(__xludf.dummyfunction("""COMPUTED_VALUE"""),"SMSF/KAN/0572")</f>
        <v>SMSF/KAN/0572</v>
      </c>
      <c r="B26" s="2" t="str">
        <f aca="false">IFERROR(__xludf.dummyfunction("""COMPUTED_VALUE"""),"VANGALA RAMADEVI")</f>
        <v>VANGALA RAMADEVI</v>
      </c>
      <c r="C26" s="2" t="str">
        <f aca="false">IFERROR(__xludf.dummyfunction("""COMPUTED_VALUE"""),"Kanha-Front Office")</f>
        <v>Kanha-Front Office</v>
      </c>
      <c r="D26" s="2" t="str">
        <f aca="false">IFERROR(__xludf.dummyfunction("""COMPUTED_VALUE"""),"Kanha")</f>
        <v>Kanha</v>
      </c>
      <c r="E26" s="16" t="n">
        <f aca="false">IFERROR(__xludf.dummyfunction("""COMPUTED_VALUE"""),42881)</f>
        <v>42881</v>
      </c>
      <c r="F26" s="9" t="n">
        <f aca="false">IFERROR(__xludf.dummyfunction("""COMPUTED_VALUE"""),11234)</f>
        <v>11234</v>
      </c>
      <c r="G26" s="2" t="n">
        <f aca="false">IFERROR(__xludf.dummyfunction("""COMPUTED_VALUE"""),30)</f>
        <v>30</v>
      </c>
      <c r="H26" s="2" t="n">
        <f aca="false">IFERROR(__xludf.dummyfunction("""COMPUTED_VALUE"""),30)</f>
        <v>30</v>
      </c>
      <c r="I26" s="9" t="n">
        <f aca="false">IFERROR(__xludf.dummyfunction("""COMPUTED_VALUE"""),134808)</f>
        <v>134808</v>
      </c>
      <c r="J26" s="9" t="n">
        <f aca="false">IFERROR(__xludf.dummyfunction("""COMPUTED_VALUE"""),203)</f>
        <v>203</v>
      </c>
      <c r="K26" s="9"/>
      <c r="L26" s="9" t="n">
        <f aca="false">IFERROR(__xludf.dummyfunction("""COMPUTED_VALUE"""),0)</f>
        <v>0</v>
      </c>
      <c r="M26" s="9"/>
    </row>
    <row r="27" customFormat="false" ht="15.75" hidden="false" customHeight="false" outlineLevel="0" collapsed="false">
      <c r="A27" s="2" t="str">
        <f aca="false">IFERROR(__xludf.dummyfunction("""COMPUTED_VALUE"""),"SMSF/KAN/0303")</f>
        <v>SMSF/KAN/0303</v>
      </c>
      <c r="B27" s="2" t="str">
        <f aca="false">IFERROR(__xludf.dummyfunction("""COMPUTED_VALUE"""),"Ramji N Rai")</f>
        <v>Ramji N Rai</v>
      </c>
      <c r="C27" s="2" t="str">
        <f aca="false">IFERROR(__xludf.dummyfunction("""COMPUTED_VALUE"""),"Kanha-IT")</f>
        <v>Kanha-IT</v>
      </c>
      <c r="D27" s="2" t="str">
        <f aca="false">IFERROR(__xludf.dummyfunction("""COMPUTED_VALUE"""),"Kanha")</f>
        <v>Kanha</v>
      </c>
      <c r="E27" s="16" t="n">
        <f aca="false">IFERROR(__xludf.dummyfunction("""COMPUTED_VALUE"""),42468)</f>
        <v>42468</v>
      </c>
      <c r="F27" s="9" t="n">
        <f aca="false">IFERROR(__xludf.dummyfunction("""COMPUTED_VALUE"""),25300)</f>
        <v>25300</v>
      </c>
      <c r="G27" s="2" t="n">
        <f aca="false">IFERROR(__xludf.dummyfunction("""COMPUTED_VALUE"""),30)</f>
        <v>30</v>
      </c>
      <c r="H27" s="2" t="n">
        <f aca="false">IFERROR(__xludf.dummyfunction("""COMPUTED_VALUE"""),30)</f>
        <v>30</v>
      </c>
      <c r="I27" s="9" t="n">
        <f aca="false">IFERROR(__xludf.dummyfunction("""COMPUTED_VALUE"""),303600)</f>
        <v>303600</v>
      </c>
      <c r="J27" s="9" t="n">
        <f aca="false">IFERROR(__xludf.dummyfunction("""COMPUTED_VALUE"""),245)</f>
        <v>245</v>
      </c>
      <c r="K27" s="9"/>
      <c r="L27" s="9" t="n">
        <f aca="false">IFERROR(__xludf.dummyfunction("""COMPUTED_VALUE"""),0)</f>
        <v>0</v>
      </c>
      <c r="M27" s="9"/>
    </row>
    <row r="28" customFormat="false" ht="15.75" hidden="false" customHeight="false" outlineLevel="0" collapsed="false">
      <c r="A28" s="2" t="str">
        <f aca="false">IFERROR(__xludf.dummyfunction("""COMPUTED_VALUE"""),"SMSF/KAN/0263")</f>
        <v>SMSF/KAN/0263</v>
      </c>
      <c r="B28" s="2" t="str">
        <f aca="false">IFERROR(__xludf.dummyfunction("""COMPUTED_VALUE"""),"NARSINGA RAO")</f>
        <v>NARSINGA RAO</v>
      </c>
      <c r="C28" s="2" t="str">
        <f aca="false">IFERROR(__xludf.dummyfunction("""COMPUTED_VALUE"""),"Kanha-Maintenance")</f>
        <v>Kanha-Maintenance</v>
      </c>
      <c r="D28" s="2" t="str">
        <f aca="false">IFERROR(__xludf.dummyfunction("""COMPUTED_VALUE"""),"Kanha")</f>
        <v>Kanha</v>
      </c>
      <c r="E28" s="16" t="n">
        <f aca="false">IFERROR(__xludf.dummyfunction("""COMPUTED_VALUE"""),42826)</f>
        <v>42826</v>
      </c>
      <c r="F28" s="9" t="n">
        <f aca="false">IFERROR(__xludf.dummyfunction("""COMPUTED_VALUE"""),13650)</f>
        <v>13650</v>
      </c>
      <c r="G28" s="2" t="n">
        <f aca="false">IFERROR(__xludf.dummyfunction("""COMPUTED_VALUE"""),30)</f>
        <v>30</v>
      </c>
      <c r="H28" s="2" t="n">
        <f aca="false">IFERROR(__xludf.dummyfunction("""COMPUTED_VALUE"""),30)</f>
        <v>30</v>
      </c>
      <c r="I28" s="9" t="n">
        <f aca="false">IFERROR(__xludf.dummyfunction("""COMPUTED_VALUE"""),163800)</f>
        <v>163800</v>
      </c>
      <c r="J28" s="9" t="n">
        <f aca="false">IFERROR(__xludf.dummyfunction("""COMPUTED_VALUE"""),375)</f>
        <v>375</v>
      </c>
      <c r="K28" s="9"/>
      <c r="L28" s="9" t="n">
        <f aca="false">IFERROR(__xludf.dummyfunction("""COMPUTED_VALUE"""),0)</f>
        <v>0</v>
      </c>
      <c r="M28" s="9"/>
    </row>
    <row r="29" customFormat="false" ht="15.75" hidden="false" customHeight="false" outlineLevel="0" collapsed="false">
      <c r="A29" s="2" t="str">
        <f aca="false">IFERROR(__xludf.dummyfunction("""COMPUTED_VALUE"""),"SMSF/KAN/0715")</f>
        <v>SMSF/KAN/0715</v>
      </c>
      <c r="B29" s="2" t="str">
        <f aca="false">IFERROR(__xludf.dummyfunction("""COMPUTED_VALUE"""),"PRASHANTH SAXENA")</f>
        <v>PRASHANTH SAXENA</v>
      </c>
      <c r="C29" s="2" t="str">
        <f aca="false">IFERROR(__xludf.dummyfunction("""COMPUTED_VALUE"""),"Kanha-Maintenance")</f>
        <v>Kanha-Maintenance</v>
      </c>
      <c r="D29" s="2" t="str">
        <f aca="false">IFERROR(__xludf.dummyfunction("""COMPUTED_VALUE"""),"Kanha")</f>
        <v>Kanha</v>
      </c>
      <c r="E29" s="16" t="n">
        <f aca="false">IFERROR(__xludf.dummyfunction("""COMPUTED_VALUE"""),43014)</f>
        <v>43014</v>
      </c>
      <c r="F29" s="9" t="n">
        <f aca="false">IFERROR(__xludf.dummyfunction("""COMPUTED_VALUE"""),11000)</f>
        <v>11000</v>
      </c>
      <c r="G29" s="2" t="n">
        <f aca="false">IFERROR(__xludf.dummyfunction("""COMPUTED_VALUE"""),30)</f>
        <v>30</v>
      </c>
      <c r="H29" s="2" t="n">
        <f aca="false">IFERROR(__xludf.dummyfunction("""COMPUTED_VALUE"""),30)</f>
        <v>30</v>
      </c>
      <c r="I29" s="9" t="n">
        <f aca="false">IFERROR(__xludf.dummyfunction("""COMPUTED_VALUE"""),132000)</f>
        <v>132000</v>
      </c>
      <c r="J29" s="9" t="n">
        <f aca="false">IFERROR(__xludf.dummyfunction("""COMPUTED_VALUE"""),305)</f>
        <v>305</v>
      </c>
      <c r="K29" s="9"/>
      <c r="L29" s="9" t="n">
        <f aca="false">IFERROR(__xludf.dummyfunction("""COMPUTED_VALUE"""),0)</f>
        <v>0</v>
      </c>
      <c r="M29" s="9"/>
    </row>
    <row r="30" customFormat="false" ht="15.75" hidden="false" customHeight="false" outlineLevel="0" collapsed="false">
      <c r="A30" s="2" t="str">
        <f aca="false">IFERROR(__xludf.dummyfunction("""COMPUTED_VALUE"""),"SMSF/KAN/0009")</f>
        <v>SMSF/KAN/0009</v>
      </c>
      <c r="B30" s="2" t="str">
        <f aca="false">IFERROR(__xludf.dummyfunction("""COMPUTED_VALUE"""),"ARUKALA SRINIVAS")</f>
        <v>ARUKALA SRINIVAS</v>
      </c>
      <c r="C30" s="2" t="str">
        <f aca="false">IFERROR(__xludf.dummyfunction("""COMPUTED_VALUE"""),"Kanha-Maintenance")</f>
        <v>Kanha-Maintenance</v>
      </c>
      <c r="D30" s="2" t="str">
        <f aca="false">IFERROR(__xludf.dummyfunction("""COMPUTED_VALUE"""),"Kanha")</f>
        <v>Kanha</v>
      </c>
      <c r="E30" s="16" t="n">
        <f aca="false">IFERROR(__xludf.dummyfunction("""COMPUTED_VALUE"""),42493)</f>
        <v>42493</v>
      </c>
      <c r="F30" s="9" t="n">
        <f aca="false">IFERROR(__xludf.dummyfunction("""COMPUTED_VALUE"""),17640)</f>
        <v>17640</v>
      </c>
      <c r="G30" s="2" t="n">
        <f aca="false">IFERROR(__xludf.dummyfunction("""COMPUTED_VALUE"""),30)</f>
        <v>30</v>
      </c>
      <c r="H30" s="2" t="n">
        <f aca="false">IFERROR(__xludf.dummyfunction("""COMPUTED_VALUE"""),30)</f>
        <v>30</v>
      </c>
      <c r="I30" s="9" t="n">
        <f aca="false">IFERROR(__xludf.dummyfunction("""COMPUTED_VALUE"""),211680)</f>
        <v>211680</v>
      </c>
      <c r="J30" s="9" t="n">
        <f aca="false">IFERROR(__xludf.dummyfunction("""COMPUTED_VALUE"""),324)</f>
        <v>324</v>
      </c>
      <c r="K30" s="9"/>
      <c r="L30" s="9" t="n">
        <f aca="false">IFERROR(__xludf.dummyfunction("""COMPUTED_VALUE"""),0)</f>
        <v>0</v>
      </c>
      <c r="M30" s="9"/>
    </row>
    <row r="31" customFormat="false" ht="15.75" hidden="false" customHeight="false" outlineLevel="0" collapsed="false">
      <c r="A31" s="2" t="str">
        <f aca="false">IFERROR(__xludf.dummyfunction("""COMPUTED_VALUE"""),"SMSF/KAN/0229")</f>
        <v>SMSF/KAN/0229</v>
      </c>
      <c r="B31" s="2" t="str">
        <f aca="false">IFERROR(__xludf.dummyfunction("""COMPUTED_VALUE"""),"SRINIVAS RAO KADALI")</f>
        <v>SRINIVAS RAO KADALI</v>
      </c>
      <c r="C31" s="2" t="str">
        <f aca="false">IFERROR(__xludf.dummyfunction("""COMPUTED_VALUE"""),"Kanha-NMR")</f>
        <v>Kanha-NMR</v>
      </c>
      <c r="D31" s="2" t="str">
        <f aca="false">IFERROR(__xludf.dummyfunction("""COMPUTED_VALUE"""),"Kanha")</f>
        <v>Kanha</v>
      </c>
      <c r="E31" s="16" t="n">
        <f aca="false">IFERROR(__xludf.dummyfunction("""COMPUTED_VALUE"""),42434)</f>
        <v>42434</v>
      </c>
      <c r="F31" s="9" t="n">
        <f aca="false">IFERROR(__xludf.dummyfunction("""COMPUTED_VALUE"""),26015)</f>
        <v>26015</v>
      </c>
      <c r="G31" s="2" t="n">
        <f aca="false">IFERROR(__xludf.dummyfunction("""COMPUTED_VALUE"""),30)</f>
        <v>30</v>
      </c>
      <c r="H31" s="2" t="n">
        <f aca="false">IFERROR(__xludf.dummyfunction("""COMPUTED_VALUE"""),30)</f>
        <v>30</v>
      </c>
      <c r="I31" s="9" t="n">
        <f aca="false">IFERROR(__xludf.dummyfunction("""COMPUTED_VALUE"""),312180)</f>
        <v>312180</v>
      </c>
      <c r="J31" s="9" t="n">
        <f aca="false">IFERROR(__xludf.dummyfunction("""COMPUTED_VALUE"""),344)</f>
        <v>344</v>
      </c>
      <c r="K31" s="9"/>
      <c r="L31" s="9" t="n">
        <f aca="false">IFERROR(__xludf.dummyfunction("""COMPUTED_VALUE"""),0)</f>
        <v>0</v>
      </c>
      <c r="M31" s="9"/>
    </row>
    <row r="32" customFormat="false" ht="15.75" hidden="false" customHeight="false" outlineLevel="0" collapsed="false">
      <c r="A32" s="2" t="str">
        <f aca="false">IFERROR(__xludf.dummyfunction("""COMPUTED_VALUE"""),"SMSF/KAN/0237")</f>
        <v>SMSF/KAN/0237</v>
      </c>
      <c r="B32" s="2" t="str">
        <f aca="false">IFERROR(__xludf.dummyfunction("""COMPUTED_VALUE"""),"KRISHNAIAH CHILKURI")</f>
        <v>KRISHNAIAH CHILKURI</v>
      </c>
      <c r="C32" s="2" t="str">
        <f aca="false">IFERROR(__xludf.dummyfunction("""COMPUTED_VALUE"""),"Kanha-Maintenance")</f>
        <v>Kanha-Maintenance</v>
      </c>
      <c r="D32" s="2" t="str">
        <f aca="false">IFERROR(__xludf.dummyfunction("""COMPUTED_VALUE"""),"Kanha")</f>
        <v>Kanha</v>
      </c>
      <c r="E32" s="16" t="n">
        <f aca="false">IFERROR(__xludf.dummyfunction("""COMPUTED_VALUE"""),42353)</f>
        <v>42353</v>
      </c>
      <c r="F32" s="9" t="n">
        <f aca="false">IFERROR(__xludf.dummyfunction("""COMPUTED_VALUE"""),11288)</f>
        <v>11288</v>
      </c>
      <c r="G32" s="2" t="n">
        <f aca="false">IFERROR(__xludf.dummyfunction("""COMPUTED_VALUE"""),30)</f>
        <v>30</v>
      </c>
      <c r="H32" s="2" t="n">
        <f aca="false">IFERROR(__xludf.dummyfunction("""COMPUTED_VALUE"""),30)</f>
        <v>30</v>
      </c>
      <c r="I32" s="9" t="n">
        <f aca="false">IFERROR(__xludf.dummyfunction("""COMPUTED_VALUE"""),135456)</f>
        <v>135456</v>
      </c>
      <c r="J32" s="9" t="n">
        <f aca="false">IFERROR(__xludf.dummyfunction("""COMPUTED_VALUE"""),375)</f>
        <v>375</v>
      </c>
      <c r="K32" s="9"/>
      <c r="L32" s="9" t="n">
        <f aca="false">IFERROR(__xludf.dummyfunction("""COMPUTED_VALUE"""),0)</f>
        <v>0</v>
      </c>
      <c r="M32" s="9"/>
    </row>
    <row r="33" customFormat="false" ht="15.75" hidden="false" customHeight="false" outlineLevel="0" collapsed="false">
      <c r="A33" s="2" t="str">
        <f aca="false">IFERROR(__xludf.dummyfunction("""COMPUTED_VALUE"""),"SMSF/KAN/0700")</f>
        <v>SMSF/KAN/0700</v>
      </c>
      <c r="B33" s="2" t="str">
        <f aca="false">IFERROR(__xludf.dummyfunction("""COMPUTED_VALUE"""),"DHANANJAY PAL")</f>
        <v>DHANANJAY PAL</v>
      </c>
      <c r="C33" s="2" t="str">
        <f aca="false">IFERROR(__xludf.dummyfunction("""COMPUTED_VALUE"""),"Kanha-Maintenance")</f>
        <v>Kanha-Maintenance</v>
      </c>
      <c r="D33" s="2" t="str">
        <f aca="false">IFERROR(__xludf.dummyfunction("""COMPUTED_VALUE"""),"Kanha")</f>
        <v>Kanha</v>
      </c>
      <c r="E33" s="16" t="n">
        <f aca="false">IFERROR(__xludf.dummyfunction("""COMPUTED_VALUE"""),43014)</f>
        <v>43014</v>
      </c>
      <c r="F33" s="9" t="n">
        <f aca="false">IFERROR(__xludf.dummyfunction("""COMPUTED_VALUE"""),11000)</f>
        <v>11000</v>
      </c>
      <c r="G33" s="2" t="n">
        <f aca="false">IFERROR(__xludf.dummyfunction("""COMPUTED_VALUE"""),30)</f>
        <v>30</v>
      </c>
      <c r="H33" s="2" t="n">
        <f aca="false">IFERROR(__xludf.dummyfunction("""COMPUTED_VALUE"""),30)</f>
        <v>30</v>
      </c>
      <c r="I33" s="9" t="n">
        <f aca="false">IFERROR(__xludf.dummyfunction("""COMPUTED_VALUE"""),132000)</f>
        <v>132000</v>
      </c>
      <c r="J33" s="9" t="n">
        <f aca="false">IFERROR(__xludf.dummyfunction("""COMPUTED_VALUE"""),61)</f>
        <v>61</v>
      </c>
      <c r="K33" s="9"/>
      <c r="L33" s="9" t="n">
        <f aca="false">IFERROR(__xludf.dummyfunction("""COMPUTED_VALUE"""),0)</f>
        <v>0</v>
      </c>
      <c r="M33" s="9"/>
    </row>
    <row r="34" customFormat="false" ht="15.75" hidden="false" customHeight="false" outlineLevel="0" collapsed="false">
      <c r="A34" s="2" t="str">
        <f aca="false">IFERROR(__xludf.dummyfunction("""COMPUTED_VALUE"""),"SRCM/BMA/0044")</f>
        <v>SRCM/BMA/0044</v>
      </c>
      <c r="B34" s="2" t="str">
        <f aca="false">IFERROR(__xludf.dummyfunction("""COMPUTED_VALUE"""),"ANAND")</f>
        <v>ANAND</v>
      </c>
      <c r="C34" s="2" t="str">
        <f aca="false">IFERROR(__xludf.dummyfunction("""COMPUTED_VALUE"""),"Kanha-Purchase
")</f>
        <v>Kanha-Purchase
</v>
      </c>
      <c r="D34" s="2" t="str">
        <f aca="false">IFERROR(__xludf.dummyfunction("""COMPUTED_VALUE"""),"Kanha")</f>
        <v>Kanha</v>
      </c>
      <c r="E34" s="16" t="n">
        <f aca="false">IFERROR(__xludf.dummyfunction("""COMPUTED_VALUE"""),41584)</f>
        <v>41584</v>
      </c>
      <c r="F34" s="9" t="n">
        <f aca="false">IFERROR(__xludf.dummyfunction("""COMPUTED_VALUE"""),50000)</f>
        <v>50000</v>
      </c>
      <c r="G34" s="2" t="n">
        <f aca="false">IFERROR(__xludf.dummyfunction("""COMPUTED_VALUE"""),30)</f>
        <v>30</v>
      </c>
      <c r="H34" s="2" t="n">
        <f aca="false">IFERROR(__xludf.dummyfunction("""COMPUTED_VALUE"""),30)</f>
        <v>30</v>
      </c>
      <c r="I34" s="9" t="n">
        <f aca="false">IFERROR(__xludf.dummyfunction("""COMPUTED_VALUE"""),600000)</f>
        <v>600000</v>
      </c>
      <c r="J34" s="9" t="n">
        <f aca="false">IFERROR(__xludf.dummyfunction("""COMPUTED_VALUE"""),263)</f>
        <v>263</v>
      </c>
      <c r="K34" s="9"/>
      <c r="L34" s="9" t="n">
        <f aca="false">IFERROR(__xludf.dummyfunction("""COMPUTED_VALUE"""),0)</f>
        <v>0</v>
      </c>
      <c r="M34" s="9"/>
    </row>
    <row r="35" customFormat="false" ht="15.75" hidden="false" customHeight="false" outlineLevel="0" collapsed="false">
      <c r="A35" s="2" t="str">
        <f aca="false">IFERROR(__xludf.dummyfunction("""COMPUTED_VALUE"""),"SMSF/KAN/0721")</f>
        <v>SMSF/KAN/0721</v>
      </c>
      <c r="B35" s="2" t="str">
        <f aca="false">IFERROR(__xludf.dummyfunction("""COMPUTED_VALUE"""),"KAUSAL KISHORE")</f>
        <v>KAUSAL KISHORE</v>
      </c>
      <c r="C35" s="2" t="str">
        <f aca="false">IFERROR(__xludf.dummyfunction("""COMPUTED_VALUE"""),"Kanha-Maintenance")</f>
        <v>Kanha-Maintenance</v>
      </c>
      <c r="D35" s="2" t="str">
        <f aca="false">IFERROR(__xludf.dummyfunction("""COMPUTED_VALUE"""),"Kanha")</f>
        <v>Kanha</v>
      </c>
      <c r="E35" s="16" t="n">
        <f aca="false">IFERROR(__xludf.dummyfunction("""COMPUTED_VALUE"""),43014)</f>
        <v>43014</v>
      </c>
      <c r="F35" s="9" t="n">
        <f aca="false">IFERROR(__xludf.dummyfunction("""COMPUTED_VALUE"""),16000)</f>
        <v>16000</v>
      </c>
      <c r="G35" s="2" t="n">
        <f aca="false">IFERROR(__xludf.dummyfunction("""COMPUTED_VALUE"""),30)</f>
        <v>30</v>
      </c>
      <c r="H35" s="2" t="n">
        <f aca="false">IFERROR(__xludf.dummyfunction("""COMPUTED_VALUE"""),30)</f>
        <v>30</v>
      </c>
      <c r="I35" s="9" t="n">
        <f aca="false">IFERROR(__xludf.dummyfunction("""COMPUTED_VALUE"""),192000)</f>
        <v>192000</v>
      </c>
      <c r="J35" s="9" t="n">
        <f aca="false">IFERROR(__xludf.dummyfunction("""COMPUTED_VALUE"""),92)</f>
        <v>92</v>
      </c>
      <c r="K35" s="9"/>
      <c r="L35" s="9" t="n">
        <f aca="false">IFERROR(__xludf.dummyfunction("""COMPUTED_VALUE"""),0)</f>
        <v>0</v>
      </c>
      <c r="M35" s="9"/>
    </row>
    <row r="36" customFormat="false" ht="15.75" hidden="false" customHeight="false" outlineLevel="0" collapsed="false">
      <c r="A36" s="2" t="str">
        <f aca="false">IFERROR(__xludf.dummyfunction("""COMPUTED_VALUE"""),"SMSF/KAN/0459")</f>
        <v>SMSF/KAN/0459</v>
      </c>
      <c r="B36" s="2" t="str">
        <f aca="false">IFERROR(__xludf.dummyfunction("""COMPUTED_VALUE"""),"Anshuman Pandey")</f>
        <v>Anshuman Pandey</v>
      </c>
      <c r="C36" s="2" t="str">
        <f aca="false">IFERROR(__xludf.dummyfunction("""COMPUTED_VALUE"""),"Kanha-Maintenance")</f>
        <v>Kanha-Maintenance</v>
      </c>
      <c r="D36" s="2" t="str">
        <f aca="false">IFERROR(__xludf.dummyfunction("""COMPUTED_VALUE"""),"Kanha")</f>
        <v>Kanha</v>
      </c>
      <c r="E36" s="16" t="n">
        <f aca="false">IFERROR(__xludf.dummyfunction("""COMPUTED_VALUE"""),43132)</f>
        <v>43132</v>
      </c>
      <c r="F36" s="9" t="n">
        <f aca="false">IFERROR(__xludf.dummyfunction("""COMPUTED_VALUE"""),10850)</f>
        <v>10850</v>
      </c>
      <c r="G36" s="2" t="n">
        <f aca="false">IFERROR(__xludf.dummyfunction("""COMPUTED_VALUE"""),30)</f>
        <v>30</v>
      </c>
      <c r="H36" s="2" t="n">
        <f aca="false">IFERROR(__xludf.dummyfunction("""COMPUTED_VALUE"""),30)</f>
        <v>30</v>
      </c>
      <c r="I36" s="9" t="n">
        <f aca="false">IFERROR(__xludf.dummyfunction("""COMPUTED_VALUE"""),130200)</f>
        <v>130200</v>
      </c>
      <c r="J36" s="9" t="n">
        <f aca="false">IFERROR(__xludf.dummyfunction("""COMPUTED_VALUE"""),92)</f>
        <v>92</v>
      </c>
      <c r="K36" s="9"/>
      <c r="L36" s="9" t="n">
        <f aca="false">IFERROR(__xludf.dummyfunction("""COMPUTED_VALUE"""),0)</f>
        <v>0</v>
      </c>
      <c r="M36" s="9"/>
    </row>
    <row r="37" customFormat="false" ht="15.75" hidden="false" customHeight="false" outlineLevel="0" collapsed="false">
      <c r="A37" s="2" t="str">
        <f aca="false">IFERROR(__xludf.dummyfunction("""COMPUTED_VALUE"""),"SMSF/KAN/0299")</f>
        <v>SMSF/KAN/0299</v>
      </c>
      <c r="B37" s="2" t="str">
        <f aca="false">IFERROR(__xludf.dummyfunction("""COMPUTED_VALUE"""),"Surendra Kumar ")</f>
        <v>Surendra Kumar </v>
      </c>
      <c r="C37" s="2" t="str">
        <f aca="false">IFERROR(__xludf.dummyfunction("""COMPUTED_VALUE"""),"Kanha -Comfort Dorm")</f>
        <v>Kanha -Comfort Dorm</v>
      </c>
      <c r="D37" s="2" t="str">
        <f aca="false">IFERROR(__xludf.dummyfunction("""COMPUTED_VALUE"""),"Kanha")</f>
        <v>Kanha</v>
      </c>
      <c r="E37" s="16" t="n">
        <f aca="false">IFERROR(__xludf.dummyfunction("""COMPUTED_VALUE"""),42998)</f>
        <v>42998</v>
      </c>
      <c r="F37" s="9" t="n">
        <f aca="false">IFERROR(__xludf.dummyfunction("""COMPUTED_VALUE"""),13932)</f>
        <v>13932</v>
      </c>
      <c r="G37" s="2" t="n">
        <f aca="false">IFERROR(__xludf.dummyfunction("""COMPUTED_VALUE"""),30)</f>
        <v>30</v>
      </c>
      <c r="H37" s="2" t="n">
        <f aca="false">IFERROR(__xludf.dummyfunction("""COMPUTED_VALUE"""),30)</f>
        <v>30</v>
      </c>
      <c r="I37" s="9" t="n">
        <f aca="false">IFERROR(__xludf.dummyfunction("""COMPUTED_VALUE"""),167184)</f>
        <v>167184</v>
      </c>
      <c r="J37" s="9" t="n">
        <f aca="false">IFERROR(__xludf.dummyfunction("""COMPUTED_VALUE"""),203)</f>
        <v>203</v>
      </c>
      <c r="K37" s="9"/>
      <c r="L37" s="9" t="n">
        <f aca="false">IFERROR(__xludf.dummyfunction("""COMPUTED_VALUE"""),0)</f>
        <v>0</v>
      </c>
      <c r="M37" s="9"/>
    </row>
    <row r="38" customFormat="false" ht="15.75" hidden="false" customHeight="false" outlineLevel="0" collapsed="false">
      <c r="A38" s="2" t="str">
        <f aca="false">IFERROR(__xludf.dummyfunction("""COMPUTED_VALUE"""),"SMSF/KAN/0300")</f>
        <v>SMSF/KAN/0300</v>
      </c>
      <c r="B38" s="2" t="str">
        <f aca="false">IFERROR(__xludf.dummyfunction("""COMPUTED_VALUE"""),"Suman Rani")</f>
        <v>Suman Rani</v>
      </c>
      <c r="C38" s="2" t="str">
        <f aca="false">IFERROR(__xludf.dummyfunction("""COMPUTED_VALUE"""),"Kanha -Comfort Dorm")</f>
        <v>Kanha -Comfort Dorm</v>
      </c>
      <c r="D38" s="2" t="str">
        <f aca="false">IFERROR(__xludf.dummyfunction("""COMPUTED_VALUE"""),"Kanha")</f>
        <v>Kanha</v>
      </c>
      <c r="E38" s="16" t="n">
        <f aca="false">IFERROR(__xludf.dummyfunction("""COMPUTED_VALUE"""),42998)</f>
        <v>42998</v>
      </c>
      <c r="F38" s="9" t="n">
        <f aca="false">IFERROR(__xludf.dummyfunction("""COMPUTED_VALUE"""),13000)</f>
        <v>13000</v>
      </c>
      <c r="G38" s="2" t="n">
        <f aca="false">IFERROR(__xludf.dummyfunction("""COMPUTED_VALUE"""),30)</f>
        <v>30</v>
      </c>
      <c r="H38" s="2" t="n">
        <f aca="false">IFERROR(__xludf.dummyfunction("""COMPUTED_VALUE"""),30)</f>
        <v>30</v>
      </c>
      <c r="I38" s="9" t="n">
        <f aca="false">IFERROR(__xludf.dummyfunction("""COMPUTED_VALUE"""),156000)</f>
        <v>156000</v>
      </c>
      <c r="J38" s="9" t="n">
        <f aca="false">IFERROR(__xludf.dummyfunction("""COMPUTED_VALUE"""),0)</f>
        <v>0</v>
      </c>
      <c r="K38" s="9"/>
      <c r="L38" s="9" t="n">
        <f aca="false">IFERROR(__xludf.dummyfunction("""COMPUTED_VALUE"""),0)</f>
        <v>0</v>
      </c>
      <c r="M38" s="9"/>
    </row>
    <row r="39" customFormat="false" ht="15.75" hidden="false" customHeight="false" outlineLevel="0" collapsed="false">
      <c r="A39" s="2" t="str">
        <f aca="false">IFERROR(__xludf.dummyfunction("""COMPUTED_VALUE"""),"SMSF/KAN/0864")</f>
        <v>SMSF/KAN/0864</v>
      </c>
      <c r="B39" s="2" t="str">
        <f aca="false">IFERROR(__xludf.dummyfunction("""COMPUTED_VALUE"""),"Shrada")</f>
        <v>Shrada</v>
      </c>
      <c r="C39" s="2" t="str">
        <f aca="false">IFERROR(__xludf.dummyfunction("""COMPUTED_VALUE"""),"Kanha-FMC")</f>
        <v>Kanha-FMC</v>
      </c>
      <c r="D39" s="2" t="str">
        <f aca="false">IFERROR(__xludf.dummyfunction("""COMPUTED_VALUE"""),"Kanha")</f>
        <v>Kanha</v>
      </c>
      <c r="E39" s="16" t="n">
        <f aca="false">IFERROR(__xludf.dummyfunction("""COMPUTED_VALUE"""),43246)</f>
        <v>43246</v>
      </c>
      <c r="F39" s="9" t="n">
        <f aca="false">IFERROR(__xludf.dummyfunction("""COMPUTED_VALUE"""),16500)</f>
        <v>16500</v>
      </c>
      <c r="G39" s="2" t="n">
        <f aca="false">IFERROR(__xludf.dummyfunction("""COMPUTED_VALUE"""),30)</f>
        <v>30</v>
      </c>
      <c r="H39" s="2" t="n">
        <f aca="false">IFERROR(__xludf.dummyfunction("""COMPUTED_VALUE"""),30)</f>
        <v>30</v>
      </c>
      <c r="I39" s="9" t="n">
        <f aca="false">IFERROR(__xludf.dummyfunction("""COMPUTED_VALUE"""),198000)</f>
        <v>198000</v>
      </c>
      <c r="J39" s="9" t="n">
        <f aca="false">IFERROR(__xludf.dummyfunction("""COMPUTED_VALUE"""),184)</f>
        <v>184</v>
      </c>
      <c r="K39" s="9"/>
      <c r="L39" s="9" t="n">
        <f aca="false">IFERROR(__xludf.dummyfunction("""COMPUTED_VALUE"""),0)</f>
        <v>0</v>
      </c>
      <c r="M39" s="9"/>
    </row>
    <row r="40" customFormat="false" ht="15.75" hidden="false" customHeight="false" outlineLevel="0" collapsed="false">
      <c r="A40" s="2" t="str">
        <f aca="false">IFERROR(__xludf.dummyfunction("""COMPUTED_VALUE"""),"SMSF/KAN/0719")</f>
        <v>SMSF/KAN/0719</v>
      </c>
      <c r="B40" s="2" t="str">
        <f aca="false">IFERROR(__xludf.dummyfunction("""COMPUTED_VALUE"""),"Manikandan S")</f>
        <v>Manikandan S</v>
      </c>
      <c r="C40" s="2" t="str">
        <f aca="false">IFERROR(__xludf.dummyfunction("""COMPUTED_VALUE"""),"Kanha-Assistant Assets")</f>
        <v>Kanha-Assistant Assets</v>
      </c>
      <c r="D40" s="2" t="str">
        <f aca="false">IFERROR(__xludf.dummyfunction("""COMPUTED_VALUE"""),"Kanha")</f>
        <v>Kanha</v>
      </c>
      <c r="E40" s="16" t="n">
        <f aca="false">IFERROR(__xludf.dummyfunction("""COMPUTED_VALUE"""),43192)</f>
        <v>43192</v>
      </c>
      <c r="F40" s="9" t="n">
        <f aca="false">IFERROR(__xludf.dummyfunction("""COMPUTED_VALUE"""),15000)</f>
        <v>15000</v>
      </c>
      <c r="G40" s="2" t="n">
        <f aca="false">IFERROR(__xludf.dummyfunction("""COMPUTED_VALUE"""),30)</f>
        <v>30</v>
      </c>
      <c r="H40" s="2" t="n">
        <f aca="false">IFERROR(__xludf.dummyfunction("""COMPUTED_VALUE"""),30)</f>
        <v>30</v>
      </c>
      <c r="I40" s="9" t="n">
        <f aca="false">IFERROR(__xludf.dummyfunction("""COMPUTED_VALUE"""),180000)</f>
        <v>180000</v>
      </c>
      <c r="J40" s="9" t="n">
        <f aca="false">IFERROR(__xludf.dummyfunction("""COMPUTED_VALUE"""),92)</f>
        <v>92</v>
      </c>
      <c r="K40" s="9"/>
      <c r="L40" s="9" t="n">
        <f aca="false">IFERROR(__xludf.dummyfunction("""COMPUTED_VALUE"""),0)</f>
        <v>0</v>
      </c>
      <c r="M40" s="9"/>
    </row>
    <row r="41" customFormat="false" ht="15.75" hidden="false" customHeight="false" outlineLevel="0" collapsed="false">
      <c r="A41" s="2" t="str">
        <f aca="false">IFERROR(__xludf.dummyfunction("""COMPUTED_VALUE"""),"SMSF/KAN/0759")</f>
        <v>SMSF/KAN/0759</v>
      </c>
      <c r="B41" s="2" t="str">
        <f aca="false">IFERROR(__xludf.dummyfunction("""COMPUTED_VALUE"""),"Prabhakar")</f>
        <v>Prabhakar</v>
      </c>
      <c r="C41" s="2" t="str">
        <f aca="false">IFERROR(__xludf.dummyfunction("""COMPUTED_VALUE"""),"Kanha-CCTVOperator")</f>
        <v>Kanha-CCTVOperator</v>
      </c>
      <c r="D41" s="2" t="str">
        <f aca="false">IFERROR(__xludf.dummyfunction("""COMPUTED_VALUE"""),"Kanha")</f>
        <v>Kanha</v>
      </c>
      <c r="E41" s="16" t="n">
        <f aca="false">IFERROR(__xludf.dummyfunction("""COMPUTED_VALUE"""),43276)</f>
        <v>43276</v>
      </c>
      <c r="F41" s="9" t="n">
        <f aca="false">IFERROR(__xludf.dummyfunction("""COMPUTED_VALUE"""),18000)</f>
        <v>18000</v>
      </c>
      <c r="G41" s="2" t="n">
        <f aca="false">IFERROR(__xludf.dummyfunction("""COMPUTED_VALUE"""),30)</f>
        <v>30</v>
      </c>
      <c r="H41" s="2" t="n">
        <f aca="false">IFERROR(__xludf.dummyfunction("""COMPUTED_VALUE"""),30)</f>
        <v>30</v>
      </c>
      <c r="I41" s="9" t="n">
        <f aca="false">IFERROR(__xludf.dummyfunction("""COMPUTED_VALUE"""),216000)</f>
        <v>216000</v>
      </c>
      <c r="J41" s="9" t="n">
        <f aca="false">IFERROR(__xludf.dummyfunction("""COMPUTED_VALUE"""),92)</f>
        <v>92</v>
      </c>
      <c r="K41" s="9"/>
      <c r="L41" s="9" t="n">
        <f aca="false">IFERROR(__xludf.dummyfunction("""COMPUTED_VALUE"""),0)</f>
        <v>0</v>
      </c>
      <c r="M41" s="9"/>
    </row>
    <row r="42" customFormat="false" ht="15.75" hidden="false" customHeight="false" outlineLevel="0" collapsed="false">
      <c r="A42" s="2" t="str">
        <f aca="false">IFERROR(__xludf.dummyfunction("""COMPUTED_VALUE"""),"SMSF/KAN/0772")</f>
        <v>SMSF/KAN/0772</v>
      </c>
      <c r="B42" s="2" t="str">
        <f aca="false">IFERROR(__xludf.dummyfunction("""COMPUTED_VALUE"""),"Ravi shankar kumar")</f>
        <v>Ravi shankar kumar</v>
      </c>
      <c r="C42" s="2" t="str">
        <f aca="false">IFERROR(__xludf.dummyfunction("""COMPUTED_VALUE"""),"Kanha-Administration")</f>
        <v>Kanha-Administration</v>
      </c>
      <c r="D42" s="2" t="str">
        <f aca="false">IFERROR(__xludf.dummyfunction("""COMPUTED_VALUE"""),"Kanha")</f>
        <v>Kanha</v>
      </c>
      <c r="E42" s="16" t="n">
        <f aca="false">IFERROR(__xludf.dummyfunction("""COMPUTED_VALUE"""),43232)</f>
        <v>43232</v>
      </c>
      <c r="F42" s="9" t="n">
        <f aca="false">IFERROR(__xludf.dummyfunction("""COMPUTED_VALUE"""),16000)</f>
        <v>16000</v>
      </c>
      <c r="G42" s="2" t="n">
        <f aca="false">IFERROR(__xludf.dummyfunction("""COMPUTED_VALUE"""),30)</f>
        <v>30</v>
      </c>
      <c r="H42" s="2" t="n">
        <f aca="false">IFERROR(__xludf.dummyfunction("""COMPUTED_VALUE"""),30)</f>
        <v>30</v>
      </c>
      <c r="I42" s="9" t="n">
        <f aca="false">IFERROR(__xludf.dummyfunction("""COMPUTED_VALUE"""),192000)</f>
        <v>192000</v>
      </c>
      <c r="J42" s="9" t="n">
        <f aca="false">IFERROR(__xludf.dummyfunction("""COMPUTED_VALUE"""),61)</f>
        <v>61</v>
      </c>
      <c r="K42" s="9"/>
      <c r="L42" s="9" t="n">
        <f aca="false">IFERROR(__xludf.dummyfunction("""COMPUTED_VALUE"""),0)</f>
        <v>0</v>
      </c>
      <c r="M42" s="9"/>
    </row>
    <row r="43" customFormat="false" ht="15.75" hidden="false" customHeight="false" outlineLevel="0" collapsed="false">
      <c r="A43" s="2" t="str">
        <f aca="false">IFERROR(__xludf.dummyfunction("""COMPUTED_VALUE"""),"SMSF/KAN/0770")</f>
        <v>SMSF/KAN/0770</v>
      </c>
      <c r="B43" s="2" t="str">
        <f aca="false">IFERROR(__xludf.dummyfunction("""COMPUTED_VALUE"""),"Naresh Singh Tomar")</f>
        <v>Naresh Singh Tomar</v>
      </c>
      <c r="C43" s="2" t="str">
        <f aca="false">IFERROR(__xludf.dummyfunction("""COMPUTED_VALUE"""),"Kanha-Security")</f>
        <v>Kanha-Security</v>
      </c>
      <c r="D43" s="2" t="str">
        <f aca="false">IFERROR(__xludf.dummyfunction("""COMPUTED_VALUE"""),"Kanha")</f>
        <v>Kanha</v>
      </c>
      <c r="E43" s="16" t="n">
        <f aca="false">IFERROR(__xludf.dummyfunction("""COMPUTED_VALUE"""),43286)</f>
        <v>43286</v>
      </c>
      <c r="F43" s="9" t="n">
        <f aca="false">IFERROR(__xludf.dummyfunction("""COMPUTED_VALUE"""),13200)</f>
        <v>13200</v>
      </c>
      <c r="G43" s="2" t="n">
        <f aca="false">IFERROR(__xludf.dummyfunction("""COMPUTED_VALUE"""),30)</f>
        <v>30</v>
      </c>
      <c r="H43" s="2" t="n">
        <f aca="false">IFERROR(__xludf.dummyfunction("""COMPUTED_VALUE"""),30)</f>
        <v>30</v>
      </c>
      <c r="I43" s="9" t="n">
        <f aca="false">IFERROR(__xludf.dummyfunction("""COMPUTED_VALUE"""),158400)</f>
        <v>158400</v>
      </c>
      <c r="J43" s="9" t="n">
        <f aca="false">IFERROR(__xludf.dummyfunction("""COMPUTED_VALUE"""),615)</f>
        <v>615</v>
      </c>
      <c r="K43" s="9"/>
      <c r="L43" s="9" t="n">
        <f aca="false">IFERROR(__xludf.dummyfunction("""COMPUTED_VALUE"""),0)</f>
        <v>0</v>
      </c>
      <c r="M43" s="9"/>
    </row>
    <row r="44" customFormat="false" ht="15.75" hidden="false" customHeight="false" outlineLevel="0" collapsed="false">
      <c r="A44" s="2" t="str">
        <f aca="false">IFERROR(__xludf.dummyfunction("""COMPUTED_VALUE"""),"SMSF/KAN/0900")</f>
        <v>SMSF/KAN/0900</v>
      </c>
      <c r="B44" s="2" t="str">
        <f aca="false">IFERROR(__xludf.dummyfunction("""COMPUTED_VALUE"""),"D Sandhya")</f>
        <v>D Sandhya</v>
      </c>
      <c r="C44" s="2" t="str">
        <f aca="false">IFERROR(__xludf.dummyfunction("""COMPUTED_VALUE"""),"Kanha-Front Office")</f>
        <v>Kanha-Front Office</v>
      </c>
      <c r="D44" s="2" t="str">
        <f aca="false">IFERROR(__xludf.dummyfunction("""COMPUTED_VALUE"""),"Kanha")</f>
        <v>Kanha</v>
      </c>
      <c r="E44" s="16" t="n">
        <f aca="false">IFERROR(__xludf.dummyfunction("""COMPUTED_VALUE"""),43405)</f>
        <v>43405</v>
      </c>
      <c r="F44" s="9" t="n">
        <f aca="false">IFERROR(__xludf.dummyfunction("""COMPUTED_VALUE"""),8000)</f>
        <v>8000</v>
      </c>
      <c r="G44" s="2" t="n">
        <f aca="false">IFERROR(__xludf.dummyfunction("""COMPUTED_VALUE"""),30)</f>
        <v>30</v>
      </c>
      <c r="H44" s="2" t="n">
        <f aca="false">IFERROR(__xludf.dummyfunction("""COMPUTED_VALUE"""),30)</f>
        <v>30</v>
      </c>
      <c r="I44" s="9" t="n">
        <f aca="false">IFERROR(__xludf.dummyfunction("""COMPUTED_VALUE"""),96000)</f>
        <v>96000</v>
      </c>
      <c r="J44" s="9" t="n">
        <f aca="false">IFERROR(__xludf.dummyfunction("""COMPUTED_VALUE"""),161)</f>
        <v>161</v>
      </c>
      <c r="K44" s="9"/>
      <c r="L44" s="9" t="n">
        <f aca="false">IFERROR(__xludf.dummyfunction("""COMPUTED_VALUE"""),0)</f>
        <v>0</v>
      </c>
      <c r="M44" s="9"/>
    </row>
    <row r="45" customFormat="false" ht="15.75" hidden="false" customHeight="false" outlineLevel="0" collapsed="false">
      <c r="A45" s="2" t="str">
        <f aca="false">IFERROR(__xludf.dummyfunction("""COMPUTED_VALUE"""),"SMSF/KAN/0917")</f>
        <v>SMSF/KAN/0917</v>
      </c>
      <c r="B45" s="2" t="str">
        <f aca="false">IFERROR(__xludf.dummyfunction("""COMPUTED_VALUE"""),"ABDUL.SATTAR")</f>
        <v>ABDUL.SATTAR</v>
      </c>
      <c r="C45" s="2" t="str">
        <f aca="false">IFERROR(__xludf.dummyfunction("""COMPUTED_VALUE"""),"Kanha-Security")</f>
        <v>Kanha-Security</v>
      </c>
      <c r="D45" s="2" t="str">
        <f aca="false">IFERROR(__xludf.dummyfunction("""COMPUTED_VALUE"""),"Kanha")</f>
        <v>Kanha</v>
      </c>
      <c r="E45" s="16" t="n">
        <f aca="false">IFERROR(__xludf.dummyfunction("""COMPUTED_VALUE"""),43429)</f>
        <v>43429</v>
      </c>
      <c r="F45" s="9" t="n">
        <f aca="false">IFERROR(__xludf.dummyfunction("""COMPUTED_VALUE"""),15000)</f>
        <v>15000</v>
      </c>
      <c r="G45" s="2" t="n">
        <f aca="false">IFERROR(__xludf.dummyfunction("""COMPUTED_VALUE"""),30)</f>
        <v>30</v>
      </c>
      <c r="H45" s="2" t="n">
        <f aca="false">IFERROR(__xludf.dummyfunction("""COMPUTED_VALUE"""),30)</f>
        <v>30</v>
      </c>
      <c r="I45" s="9" t="n">
        <f aca="false">IFERROR(__xludf.dummyfunction("""COMPUTED_VALUE"""),180000)</f>
        <v>180000</v>
      </c>
      <c r="J45" s="9" t="n">
        <f aca="false">IFERROR(__xludf.dummyfunction("""COMPUTED_VALUE"""),454)</f>
        <v>454</v>
      </c>
      <c r="K45" s="9"/>
      <c r="L45" s="9" t="n">
        <f aca="false">IFERROR(__xludf.dummyfunction("""COMPUTED_VALUE"""),0)</f>
        <v>0</v>
      </c>
      <c r="M45" s="9"/>
    </row>
    <row r="46" customFormat="false" ht="15.75" hidden="false" customHeight="false" outlineLevel="0" collapsed="false">
      <c r="A46" s="2" t="str">
        <f aca="false">IFERROR(__xludf.dummyfunction("""COMPUTED_VALUE"""),"SMSF/KAN/0906")</f>
        <v>SMSF/KAN/0906</v>
      </c>
      <c r="B46" s="2" t="str">
        <f aca="false">IFERROR(__xludf.dummyfunction("""COMPUTED_VALUE"""),"SHAIK AFROZ")</f>
        <v>SHAIK AFROZ</v>
      </c>
      <c r="C46" s="2" t="str">
        <f aca="false">IFERROR(__xludf.dummyfunction("""COMPUTED_VALUE"""),"Kanha-Maintenance")</f>
        <v>Kanha-Maintenance</v>
      </c>
      <c r="D46" s="2" t="str">
        <f aca="false">IFERROR(__xludf.dummyfunction("""COMPUTED_VALUE"""),"Kanha")</f>
        <v>Kanha</v>
      </c>
      <c r="E46" s="16" t="n">
        <f aca="false">IFERROR(__xludf.dummyfunction("""COMPUTED_VALUE"""),43429)</f>
        <v>43429</v>
      </c>
      <c r="F46" s="9" t="n">
        <f aca="false">IFERROR(__xludf.dummyfunction("""COMPUTED_VALUE"""),10000)</f>
        <v>10000</v>
      </c>
      <c r="G46" s="2" t="n">
        <f aca="false">IFERROR(__xludf.dummyfunction("""COMPUTED_VALUE"""),30)</f>
        <v>30</v>
      </c>
      <c r="H46" s="2" t="n">
        <f aca="false">IFERROR(__xludf.dummyfunction("""COMPUTED_VALUE"""),30)</f>
        <v>30</v>
      </c>
      <c r="I46" s="9" t="n">
        <f aca="false">IFERROR(__xludf.dummyfunction("""COMPUTED_VALUE"""),120000)</f>
        <v>120000</v>
      </c>
      <c r="J46" s="9" t="n">
        <f aca="false">IFERROR(__xludf.dummyfunction("""COMPUTED_VALUE"""),61)</f>
        <v>61</v>
      </c>
      <c r="K46" s="9"/>
      <c r="L46" s="9" t="n">
        <f aca="false">IFERROR(__xludf.dummyfunction("""COMPUTED_VALUE"""),0)</f>
        <v>0</v>
      </c>
      <c r="M46" s="9"/>
    </row>
    <row r="47" customFormat="false" ht="15.75" hidden="false" customHeight="false" outlineLevel="0" collapsed="false">
      <c r="A47" s="2" t="str">
        <f aca="false">IFERROR(__xludf.dummyfunction("""COMPUTED_VALUE"""),"SMSF/KAN/1198")</f>
        <v>SMSF/KAN/1198</v>
      </c>
      <c r="B47" s="2" t="str">
        <f aca="false">IFERROR(__xludf.dummyfunction("""COMPUTED_VALUE"""),"Madasu Ravi Subhash Vital")</f>
        <v>Madasu Ravi Subhash Vital</v>
      </c>
      <c r="C47" s="2" t="str">
        <f aca="false">IFERROR(__xludf.dummyfunction("""COMPUTED_VALUE"""),"Kanha-Transport Desk")</f>
        <v>Kanha-Transport Desk</v>
      </c>
      <c r="D47" s="2" t="str">
        <f aca="false">IFERROR(__xludf.dummyfunction("""COMPUTED_VALUE"""),"Kanha")</f>
        <v>Kanha</v>
      </c>
      <c r="E47" s="16" t="n">
        <f aca="false">IFERROR(__xludf.dummyfunction("""COMPUTED_VALUE"""),43460)</f>
        <v>43460</v>
      </c>
      <c r="F47" s="9" t="n">
        <f aca="false">IFERROR(__xludf.dummyfunction("""COMPUTED_VALUE"""),11000)</f>
        <v>11000</v>
      </c>
      <c r="G47" s="2" t="n">
        <f aca="false">IFERROR(__xludf.dummyfunction("""COMPUTED_VALUE"""),30)</f>
        <v>30</v>
      </c>
      <c r="H47" s="2" t="n">
        <f aca="false">IFERROR(__xludf.dummyfunction("""COMPUTED_VALUE"""),30)</f>
        <v>30</v>
      </c>
      <c r="I47" s="9" t="n">
        <f aca="false">IFERROR(__xludf.dummyfunction("""COMPUTED_VALUE"""),132000)</f>
        <v>132000</v>
      </c>
      <c r="J47" s="9" t="n">
        <f aca="false">IFERROR(__xludf.dummyfunction("""COMPUTED_VALUE"""),92)</f>
        <v>92</v>
      </c>
      <c r="K47" s="9"/>
      <c r="L47" s="9" t="n">
        <f aca="false">IFERROR(__xludf.dummyfunction("""COMPUTED_VALUE"""),0)</f>
        <v>0</v>
      </c>
      <c r="M47" s="9"/>
    </row>
    <row r="48" customFormat="false" ht="15.75" hidden="false" customHeight="false" outlineLevel="0" collapsed="false">
      <c r="A48" s="2" t="str">
        <f aca="false">IFERROR(__xludf.dummyfunction("""COMPUTED_VALUE"""),"SMSF/KAN/1014")</f>
        <v>SMSF/KAN/1014</v>
      </c>
      <c r="B48" s="2" t="str">
        <f aca="false">IFERROR(__xludf.dummyfunction("""COMPUTED_VALUE"""),"GOSTI SIDDULU")</f>
        <v>GOSTI SIDDULU</v>
      </c>
      <c r="C48" s="2" t="str">
        <f aca="false">IFERROR(__xludf.dummyfunction("""COMPUTED_VALUE"""),"Kanha-Maintenance")</f>
        <v>Kanha-Maintenance</v>
      </c>
      <c r="D48" s="2" t="str">
        <f aca="false">IFERROR(__xludf.dummyfunction("""COMPUTED_VALUE"""),"Kanha")</f>
        <v>Kanha</v>
      </c>
      <c r="E48" s="16" t="n">
        <f aca="false">IFERROR(__xludf.dummyfunction("""COMPUTED_VALUE"""),43522)</f>
        <v>43522</v>
      </c>
      <c r="F48" s="9" t="n">
        <f aca="false">IFERROR(__xludf.dummyfunction("""COMPUTED_VALUE"""),9700)</f>
        <v>9700</v>
      </c>
      <c r="G48" s="2" t="n">
        <f aca="false">IFERROR(__xludf.dummyfunction("""COMPUTED_VALUE"""),30)</f>
        <v>30</v>
      </c>
      <c r="H48" s="2" t="n">
        <f aca="false">IFERROR(__xludf.dummyfunction("""COMPUTED_VALUE"""),30)</f>
        <v>30</v>
      </c>
      <c r="I48" s="9" t="n">
        <f aca="false">IFERROR(__xludf.dummyfunction("""COMPUTED_VALUE"""),116400)</f>
        <v>116400</v>
      </c>
      <c r="J48" s="9" t="n">
        <f aca="false">IFERROR(__xludf.dummyfunction("""COMPUTED_VALUE"""),184)</f>
        <v>184</v>
      </c>
      <c r="K48" s="9"/>
      <c r="L48" s="9" t="n">
        <f aca="false">IFERROR(__xludf.dummyfunction("""COMPUTED_VALUE"""),0)</f>
        <v>0</v>
      </c>
      <c r="M48" s="9"/>
    </row>
    <row r="49" customFormat="false" ht="15.75" hidden="false" customHeight="false" outlineLevel="0" collapsed="false">
      <c r="A49" s="2" t="str">
        <f aca="false">IFERROR(__xludf.dummyfunction("""COMPUTED_VALUE"""),"SMSF/KAN/1013")</f>
        <v>SMSF/KAN/1013</v>
      </c>
      <c r="B49" s="2" t="str">
        <f aca="false">IFERROR(__xludf.dummyfunction("""COMPUTED_VALUE"""),"PABBEY MALLESH")</f>
        <v>PABBEY MALLESH</v>
      </c>
      <c r="C49" s="2" t="str">
        <f aca="false">IFERROR(__xludf.dummyfunction("""COMPUTED_VALUE"""),"Kanha-Maintenance")</f>
        <v>Kanha-Maintenance</v>
      </c>
      <c r="D49" s="2" t="str">
        <f aca="false">IFERROR(__xludf.dummyfunction("""COMPUTED_VALUE"""),"Kanha")</f>
        <v>Kanha</v>
      </c>
      <c r="E49" s="16" t="n">
        <f aca="false">IFERROR(__xludf.dummyfunction("""COMPUTED_VALUE"""),43522)</f>
        <v>43522</v>
      </c>
      <c r="F49" s="9" t="n">
        <f aca="false">IFERROR(__xludf.dummyfunction("""COMPUTED_VALUE"""),9800)</f>
        <v>9800</v>
      </c>
      <c r="G49" s="2" t="n">
        <f aca="false">IFERROR(__xludf.dummyfunction("""COMPUTED_VALUE"""),30)</f>
        <v>30</v>
      </c>
      <c r="H49" s="2" t="n">
        <f aca="false">IFERROR(__xludf.dummyfunction("""COMPUTED_VALUE"""),30)</f>
        <v>30</v>
      </c>
      <c r="I49" s="9" t="n">
        <f aca="false">IFERROR(__xludf.dummyfunction("""COMPUTED_VALUE"""),117600)</f>
        <v>117600</v>
      </c>
      <c r="J49" s="9" t="n">
        <f aca="false">IFERROR(__xludf.dummyfunction("""COMPUTED_VALUE"""),184)</f>
        <v>184</v>
      </c>
      <c r="K49" s="9"/>
      <c r="L49" s="9" t="n">
        <f aca="false">IFERROR(__xludf.dummyfunction("""COMPUTED_VALUE"""),0)</f>
        <v>0</v>
      </c>
      <c r="M49" s="9"/>
    </row>
    <row r="50" customFormat="false" ht="15.75" hidden="false" customHeight="false" outlineLevel="0" collapsed="false">
      <c r="A50" s="2" t="str">
        <f aca="false">IFERROR(__xludf.dummyfunction("""COMPUTED_VALUE"""),"SMSF/KAN/1047")</f>
        <v>SMSF/KAN/1047</v>
      </c>
      <c r="B50" s="2" t="str">
        <f aca="false">IFERROR(__xludf.dummyfunction("""COMPUTED_VALUE"""),"FARU")</f>
        <v>FARU</v>
      </c>
      <c r="C50" s="2" t="str">
        <f aca="false">IFERROR(__xludf.dummyfunction("""COMPUTED_VALUE"""),"Kanha-Administration")</f>
        <v>Kanha-Administration</v>
      </c>
      <c r="D50" s="2" t="str">
        <f aca="false">IFERROR(__xludf.dummyfunction("""COMPUTED_VALUE"""),"Kanha")</f>
        <v>Kanha</v>
      </c>
      <c r="E50" s="16" t="n">
        <f aca="false">IFERROR(__xludf.dummyfunction("""COMPUTED_VALUE"""),43466)</f>
        <v>43466</v>
      </c>
      <c r="F50" s="9" t="n">
        <f aca="false">IFERROR(__xludf.dummyfunction("""COMPUTED_VALUE"""),12000)</f>
        <v>12000</v>
      </c>
      <c r="G50" s="2" t="n">
        <f aca="false">IFERROR(__xludf.dummyfunction("""COMPUTED_VALUE"""),30)</f>
        <v>30</v>
      </c>
      <c r="H50" s="2" t="n">
        <f aca="false">IFERROR(__xludf.dummyfunction("""COMPUTED_VALUE"""),30)</f>
        <v>30</v>
      </c>
      <c r="I50" s="9" t="n">
        <f aca="false">IFERROR(__xludf.dummyfunction("""COMPUTED_VALUE"""),144000)</f>
        <v>144000</v>
      </c>
      <c r="J50" s="9" t="n">
        <f aca="false">IFERROR(__xludf.dummyfunction("""COMPUTED_VALUE"""),0)</f>
        <v>0</v>
      </c>
      <c r="K50" s="9"/>
      <c r="L50" s="9" t="n">
        <f aca="false">IFERROR(__xludf.dummyfunction("""COMPUTED_VALUE"""),0)</f>
        <v>0</v>
      </c>
      <c r="M50" s="9"/>
    </row>
    <row r="51" customFormat="false" ht="15.75" hidden="false" customHeight="false" outlineLevel="0" collapsed="false">
      <c r="A51" s="2" t="str">
        <f aca="false">IFERROR(__xludf.dummyfunction("""COMPUTED_VALUE"""),"SMSF/KAN/1158")</f>
        <v>SMSF/KAN/1158</v>
      </c>
      <c r="B51" s="2" t="str">
        <f aca="false">IFERROR(__xludf.dummyfunction("""COMPUTED_VALUE"""),"Prashant Bharathwaj")</f>
        <v>Prashant Bharathwaj</v>
      </c>
      <c r="C51" s="2" t="str">
        <f aca="false">IFERROR(__xludf.dummyfunction("""COMPUTED_VALUE"""),"Kanha-IT")</f>
        <v>Kanha-IT</v>
      </c>
      <c r="D51" s="2" t="str">
        <f aca="false">IFERROR(__xludf.dummyfunction("""COMPUTED_VALUE"""),"Kanha")</f>
        <v>Kanha</v>
      </c>
      <c r="E51" s="16" t="n">
        <f aca="false">IFERROR(__xludf.dummyfunction("""COMPUTED_VALUE"""),43627)</f>
        <v>43627</v>
      </c>
      <c r="F51" s="9" t="n">
        <f aca="false">IFERROR(__xludf.dummyfunction("""COMPUTED_VALUE"""),25000)</f>
        <v>25000</v>
      </c>
      <c r="G51" s="2" t="n">
        <f aca="false">IFERROR(__xludf.dummyfunction("""COMPUTED_VALUE"""),30)</f>
        <v>30</v>
      </c>
      <c r="H51" s="2" t="n">
        <f aca="false">IFERROR(__xludf.dummyfunction("""COMPUTED_VALUE"""),30)</f>
        <v>30</v>
      </c>
      <c r="I51" s="9" t="n">
        <f aca="false">IFERROR(__xludf.dummyfunction("""COMPUTED_VALUE"""),300000)</f>
        <v>300000</v>
      </c>
      <c r="J51" s="9" t="n">
        <f aca="false">IFERROR(__xludf.dummyfunction("""COMPUTED_VALUE"""),61)</f>
        <v>61</v>
      </c>
      <c r="K51" s="9"/>
      <c r="L51" s="9" t="n">
        <f aca="false">IFERROR(__xludf.dummyfunction("""COMPUTED_VALUE"""),0)</f>
        <v>0</v>
      </c>
      <c r="M51" s="9"/>
    </row>
    <row r="52" customFormat="false" ht="15.75" hidden="false" customHeight="false" outlineLevel="0" collapsed="false">
      <c r="A52" s="2" t="str">
        <f aca="false">IFERROR(__xludf.dummyfunction("""COMPUTED_VALUE"""),"SMSF/KAN/1168")</f>
        <v>SMSF/KAN/1168</v>
      </c>
      <c r="B52" s="2" t="str">
        <f aca="false">IFERROR(__xludf.dummyfunction("""COMPUTED_VALUE"""),"Chhatar Singh Yadav")</f>
        <v>Chhatar Singh Yadav</v>
      </c>
      <c r="C52" s="2" t="str">
        <f aca="false">IFERROR(__xludf.dummyfunction("""COMPUTED_VALUE"""),"Kanha-Maintenance")</f>
        <v>Kanha-Maintenance</v>
      </c>
      <c r="D52" s="2" t="str">
        <f aca="false">IFERROR(__xludf.dummyfunction("""COMPUTED_VALUE"""),"Kanha")</f>
        <v>Kanha</v>
      </c>
      <c r="E52" s="16" t="n">
        <f aca="false">IFERROR(__xludf.dummyfunction("""COMPUTED_VALUE"""),43611)</f>
        <v>43611</v>
      </c>
      <c r="F52" s="9" t="n">
        <f aca="false">IFERROR(__xludf.dummyfunction("""COMPUTED_VALUE"""),12000)</f>
        <v>12000</v>
      </c>
      <c r="G52" s="2" t="n">
        <f aca="false">IFERROR(__xludf.dummyfunction("""COMPUTED_VALUE"""),30)</f>
        <v>30</v>
      </c>
      <c r="H52" s="2" t="n">
        <f aca="false">IFERROR(__xludf.dummyfunction("""COMPUTED_VALUE"""),30)</f>
        <v>30</v>
      </c>
      <c r="I52" s="9" t="n">
        <f aca="false">IFERROR(__xludf.dummyfunction("""COMPUTED_VALUE"""),144000)</f>
        <v>144000</v>
      </c>
      <c r="J52" s="9" t="n">
        <f aca="false">IFERROR(__xludf.dummyfunction("""COMPUTED_VALUE"""),111)</f>
        <v>111</v>
      </c>
      <c r="K52" s="9"/>
      <c r="L52" s="9" t="n">
        <f aca="false">IFERROR(__xludf.dummyfunction("""COMPUTED_VALUE"""),0)</f>
        <v>0</v>
      </c>
      <c r="M52" s="9"/>
    </row>
    <row r="53" customFormat="false" ht="15.75" hidden="false" customHeight="false" outlineLevel="0" collapsed="false">
      <c r="A53" s="2" t="str">
        <f aca="false">IFERROR(__xludf.dummyfunction("""COMPUTED_VALUE"""),"SMSF/KAN/1167")</f>
        <v>SMSF/KAN/1167</v>
      </c>
      <c r="B53" s="2" t="str">
        <f aca="false">IFERROR(__xludf.dummyfunction("""COMPUTED_VALUE"""),"Swapan Kumar")</f>
        <v>Swapan Kumar</v>
      </c>
      <c r="C53" s="2" t="str">
        <f aca="false">IFERROR(__xludf.dummyfunction("""COMPUTED_VALUE"""),"Kanha-Maintenance")</f>
        <v>Kanha-Maintenance</v>
      </c>
      <c r="D53" s="2" t="str">
        <f aca="false">IFERROR(__xludf.dummyfunction("""COMPUTED_VALUE"""),"Kanha")</f>
        <v>Kanha</v>
      </c>
      <c r="E53" s="16" t="n">
        <f aca="false">IFERROR(__xludf.dummyfunction("""COMPUTED_VALUE"""),43611)</f>
        <v>43611</v>
      </c>
      <c r="F53" s="9" t="n">
        <f aca="false">IFERROR(__xludf.dummyfunction("""COMPUTED_VALUE"""),12000)</f>
        <v>12000</v>
      </c>
      <c r="G53" s="2" t="n">
        <f aca="false">IFERROR(__xludf.dummyfunction("""COMPUTED_VALUE"""),30)</f>
        <v>30</v>
      </c>
      <c r="H53" s="2" t="n">
        <f aca="false">IFERROR(__xludf.dummyfunction("""COMPUTED_VALUE"""),30)</f>
        <v>30</v>
      </c>
      <c r="I53" s="9" t="n">
        <f aca="false">IFERROR(__xludf.dummyfunction("""COMPUTED_VALUE"""),144000)</f>
        <v>144000</v>
      </c>
      <c r="J53" s="9" t="n">
        <f aca="false">IFERROR(__xludf.dummyfunction("""COMPUTED_VALUE"""),297)</f>
        <v>297</v>
      </c>
      <c r="K53" s="9"/>
      <c r="L53" s="9" t="n">
        <f aca="false">IFERROR(__xludf.dummyfunction("""COMPUTED_VALUE"""),0)</f>
        <v>0</v>
      </c>
      <c r="M53" s="9"/>
    </row>
    <row r="54" customFormat="false" ht="15.75" hidden="false" customHeight="false" outlineLevel="0" collapsed="false">
      <c r="A54" s="2" t="str">
        <f aca="false">IFERROR(__xludf.dummyfunction("""COMPUTED_VALUE"""),"SMSF/KAN/1129")</f>
        <v>SMSF/KAN/1129</v>
      </c>
      <c r="B54" s="2" t="str">
        <f aca="false">IFERROR(__xludf.dummyfunction("""COMPUTED_VALUE"""),"SriMaharaj Singh")</f>
        <v>SriMaharaj Singh</v>
      </c>
      <c r="C54" s="2" t="str">
        <f aca="false">IFERROR(__xludf.dummyfunction("""COMPUTED_VALUE"""),"Kanha-Maintenance")</f>
        <v>Kanha-Maintenance</v>
      </c>
      <c r="D54" s="2" t="str">
        <f aca="false">IFERROR(__xludf.dummyfunction("""COMPUTED_VALUE"""),"Kanha")</f>
        <v>Kanha</v>
      </c>
      <c r="E54" s="16" t="n">
        <f aca="false">IFERROR(__xludf.dummyfunction("""COMPUTED_VALUE"""),43611)</f>
        <v>43611</v>
      </c>
      <c r="F54" s="9" t="n">
        <f aca="false">IFERROR(__xludf.dummyfunction("""COMPUTED_VALUE"""),10000)</f>
        <v>10000</v>
      </c>
      <c r="G54" s="2" t="n">
        <f aca="false">IFERROR(__xludf.dummyfunction("""COMPUTED_VALUE"""),30)</f>
        <v>30</v>
      </c>
      <c r="H54" s="2" t="n">
        <f aca="false">IFERROR(__xludf.dummyfunction("""COMPUTED_VALUE"""),30)</f>
        <v>30</v>
      </c>
      <c r="I54" s="9" t="n">
        <f aca="false">IFERROR(__xludf.dummyfunction("""COMPUTED_VALUE"""),120000)</f>
        <v>120000</v>
      </c>
      <c r="J54" s="9" t="n">
        <f aca="false">IFERROR(__xludf.dummyfunction("""COMPUTED_VALUE"""),236)</f>
        <v>236</v>
      </c>
      <c r="K54" s="9"/>
      <c r="L54" s="9" t="n">
        <f aca="false">IFERROR(__xludf.dummyfunction("""COMPUTED_VALUE"""),0)</f>
        <v>0</v>
      </c>
      <c r="M54" s="9"/>
    </row>
    <row r="55" customFormat="false" ht="15.75" hidden="false" customHeight="false" outlineLevel="0" collapsed="false">
      <c r="A55" s="2" t="str">
        <f aca="false">IFERROR(__xludf.dummyfunction("""COMPUTED_VALUE"""),"SMSF/KAN/1182")</f>
        <v>SMSF/KAN/1182</v>
      </c>
      <c r="B55" s="2" t="str">
        <f aca="false">IFERROR(__xludf.dummyfunction("""COMPUTED_VALUE"""),"Takur Srikanthi Bai")</f>
        <v>Takur Srikanthi Bai</v>
      </c>
      <c r="C55" s="2" t="str">
        <f aca="false">IFERROR(__xludf.dummyfunction("""COMPUTED_VALUE"""),"Kanha-FMC")</f>
        <v>Kanha-FMC</v>
      </c>
      <c r="D55" s="2" t="str">
        <f aca="false">IFERROR(__xludf.dummyfunction("""COMPUTED_VALUE"""),"Kanha")</f>
        <v>Kanha</v>
      </c>
      <c r="E55" s="16" t="n">
        <f aca="false">IFERROR(__xludf.dummyfunction("""COMPUTED_VALUE"""),43672)</f>
        <v>43672</v>
      </c>
      <c r="F55" s="9" t="n">
        <f aca="false">IFERROR(__xludf.dummyfunction("""COMPUTED_VALUE"""),12000)</f>
        <v>12000</v>
      </c>
      <c r="G55" s="2" t="n">
        <f aca="false">IFERROR(__xludf.dummyfunction("""COMPUTED_VALUE"""),30)</f>
        <v>30</v>
      </c>
      <c r="H55" s="2" t="n">
        <f aca="false">IFERROR(__xludf.dummyfunction("""COMPUTED_VALUE"""),30)</f>
        <v>30</v>
      </c>
      <c r="I55" s="9" t="n">
        <f aca="false">IFERROR(__xludf.dummyfunction("""COMPUTED_VALUE"""),144000)</f>
        <v>144000</v>
      </c>
      <c r="J55" s="9" t="n">
        <f aca="false">IFERROR(__xludf.dummyfunction("""COMPUTED_VALUE"""),245)</f>
        <v>245</v>
      </c>
      <c r="K55" s="9"/>
      <c r="L55" s="9" t="n">
        <f aca="false">IFERROR(__xludf.dummyfunction("""COMPUTED_VALUE"""),0)</f>
        <v>0</v>
      </c>
      <c r="M55" s="9"/>
    </row>
    <row r="56" customFormat="false" ht="15.75" hidden="false" customHeight="false" outlineLevel="0" collapsed="false">
      <c r="A56" s="2" t="str">
        <f aca="false">IFERROR(__xludf.dummyfunction("""COMPUTED_VALUE"""),"SMSF/KAN/1268")</f>
        <v>SMSF/KAN/1268</v>
      </c>
      <c r="B56" s="2" t="str">
        <f aca="false">IFERROR(__xludf.dummyfunction("""COMPUTED_VALUE"""),"Priyanka")</f>
        <v>Priyanka</v>
      </c>
      <c r="C56" s="2" t="str">
        <f aca="false">IFERROR(__xludf.dummyfunction("""COMPUTED_VALUE"""),"Kanha-FMC")</f>
        <v>Kanha-FMC</v>
      </c>
      <c r="D56" s="2" t="str">
        <f aca="false">IFERROR(__xludf.dummyfunction("""COMPUTED_VALUE"""),"Kanha")</f>
        <v>Kanha</v>
      </c>
      <c r="E56" s="16" t="n">
        <f aca="false">IFERROR(__xludf.dummyfunction("""COMPUTED_VALUE"""),43678)</f>
        <v>43678</v>
      </c>
      <c r="F56" s="9" t="n">
        <f aca="false">IFERROR(__xludf.dummyfunction("""COMPUTED_VALUE"""),10000)</f>
        <v>10000</v>
      </c>
      <c r="G56" s="2" t="n">
        <f aca="false">IFERROR(__xludf.dummyfunction("""COMPUTED_VALUE"""),30)</f>
        <v>30</v>
      </c>
      <c r="H56" s="2" t="n">
        <f aca="false">IFERROR(__xludf.dummyfunction("""COMPUTED_VALUE"""),30)</f>
        <v>30</v>
      </c>
      <c r="I56" s="9" t="n">
        <f aca="false">IFERROR(__xludf.dummyfunction("""COMPUTED_VALUE"""),120000)</f>
        <v>120000</v>
      </c>
      <c r="J56" s="9" t="n">
        <f aca="false">IFERROR(__xludf.dummyfunction("""COMPUTED_VALUE"""),61)</f>
        <v>61</v>
      </c>
      <c r="K56" s="9"/>
      <c r="L56" s="9" t="n">
        <f aca="false">IFERROR(__xludf.dummyfunction("""COMPUTED_VALUE"""),0)</f>
        <v>0</v>
      </c>
      <c r="M56" s="9"/>
    </row>
    <row r="57" customFormat="false" ht="15.75" hidden="false" customHeight="false" outlineLevel="0" collapsed="false">
      <c r="A57" s="2" t="str">
        <f aca="false">IFERROR(__xludf.dummyfunction("""COMPUTED_VALUE"""),"SHKJ/KAN/1152")</f>
        <v>SHKJ/KAN/1152</v>
      </c>
      <c r="B57" s="2" t="str">
        <f aca="false">IFERROR(__xludf.dummyfunction("""COMPUTED_VALUE"""),"Madamanchi Sateesh")</f>
        <v>Madamanchi Sateesh</v>
      </c>
      <c r="C57" s="2" t="str">
        <f aca="false">IFERROR(__xludf.dummyfunction("""COMPUTED_VALUE"""),"Kanha-Accounts")</f>
        <v>Kanha-Accounts</v>
      </c>
      <c r="D57" s="2" t="str">
        <f aca="false">IFERROR(__xludf.dummyfunction("""COMPUTED_VALUE"""),"Kanha")</f>
        <v>Kanha</v>
      </c>
      <c r="E57" s="16" t="n">
        <f aca="false">IFERROR(__xludf.dummyfunction("""COMPUTED_VALUE"""),43621)</f>
        <v>43621</v>
      </c>
      <c r="F57" s="9" t="n">
        <f aca="false">IFERROR(__xludf.dummyfunction("""COMPUTED_VALUE"""),15000)</f>
        <v>15000</v>
      </c>
      <c r="G57" s="2" t="n">
        <f aca="false">IFERROR(__xludf.dummyfunction("""COMPUTED_VALUE"""),30)</f>
        <v>30</v>
      </c>
      <c r="H57" s="2" t="n">
        <f aca="false">IFERROR(__xludf.dummyfunction("""COMPUTED_VALUE"""),30)</f>
        <v>30</v>
      </c>
      <c r="I57" s="9" t="n">
        <f aca="false">IFERROR(__xludf.dummyfunction("""COMPUTED_VALUE"""),180000)</f>
        <v>180000</v>
      </c>
      <c r="J57" s="9" t="n">
        <f aca="false">IFERROR(__xludf.dummyfunction("""COMPUTED_VALUE"""),92)</f>
        <v>92</v>
      </c>
      <c r="K57" s="9"/>
      <c r="L57" s="9" t="n">
        <f aca="false">IFERROR(__xludf.dummyfunction("""COMPUTED_VALUE"""),0)</f>
        <v>0</v>
      </c>
      <c r="M57" s="9"/>
    </row>
    <row r="58" customFormat="false" ht="15.75" hidden="false" customHeight="false" outlineLevel="0" collapsed="false">
      <c r="A58" s="2" t="str">
        <f aca="false">IFERROR(__xludf.dummyfunction("""COMPUTED_VALUE"""),"SHKJ/KAN/1187")</f>
        <v>SHKJ/KAN/1187</v>
      </c>
      <c r="B58" s="2" t="str">
        <f aca="false">IFERROR(__xludf.dummyfunction("""COMPUTED_VALUE"""),"Mallikarjun")</f>
        <v>Mallikarjun</v>
      </c>
      <c r="C58" s="2" t="str">
        <f aca="false">IFERROR(__xludf.dummyfunction("""COMPUTED_VALUE"""),"Events (Media)")</f>
        <v>Events (Media)</v>
      </c>
      <c r="D58" s="2" t="str">
        <f aca="false">IFERROR(__xludf.dummyfunction("""COMPUTED_VALUE"""),"Kanha")</f>
        <v>Kanha</v>
      </c>
      <c r="E58" s="16" t="n">
        <f aca="false">IFERROR(__xludf.dummyfunction("""COMPUTED_VALUE"""),43672)</f>
        <v>43672</v>
      </c>
      <c r="F58" s="9" t="n">
        <f aca="false">IFERROR(__xludf.dummyfunction("""COMPUTED_VALUE"""),16000)</f>
        <v>16000</v>
      </c>
      <c r="G58" s="2" t="n">
        <f aca="false">IFERROR(__xludf.dummyfunction("""COMPUTED_VALUE"""),30)</f>
        <v>30</v>
      </c>
      <c r="H58" s="2" t="n">
        <f aca="false">IFERROR(__xludf.dummyfunction("""COMPUTED_VALUE"""),30)</f>
        <v>30</v>
      </c>
      <c r="I58" s="9" t="n">
        <f aca="false">IFERROR(__xludf.dummyfunction("""COMPUTED_VALUE"""),192000)</f>
        <v>192000</v>
      </c>
      <c r="J58" s="9" t="n">
        <f aca="false">IFERROR(__xludf.dummyfunction("""COMPUTED_VALUE"""),92)</f>
        <v>92</v>
      </c>
      <c r="K58" s="9"/>
      <c r="L58" s="9" t="n">
        <f aca="false">IFERROR(__xludf.dummyfunction("""COMPUTED_VALUE"""),0)</f>
        <v>0</v>
      </c>
      <c r="M58" s="9"/>
    </row>
    <row r="59" customFormat="false" ht="15.75" hidden="false" customHeight="false" outlineLevel="0" collapsed="false">
      <c r="A59" s="2" t="str">
        <f aca="false">IFERROR(__xludf.dummyfunction("""COMPUTED_VALUE"""),"SMSF/KAN/1447")</f>
        <v>SMSF/KAN/1447</v>
      </c>
      <c r="B59" s="2" t="str">
        <f aca="false">IFERROR(__xludf.dummyfunction("""COMPUTED_VALUE"""),"Sathish kumar Banshibal ")</f>
        <v>Sathish kumar Banshibal </v>
      </c>
      <c r="C59" s="2" t="str">
        <f aca="false">IFERROR(__xludf.dummyfunction("""COMPUTED_VALUE"""),"Kanha-FMC")</f>
        <v>Kanha-FMC</v>
      </c>
      <c r="D59" s="2" t="str">
        <f aca="false">IFERROR(__xludf.dummyfunction("""COMPUTED_VALUE"""),"Kanha")</f>
        <v>Kanha</v>
      </c>
      <c r="E59" s="16" t="n">
        <f aca="false">IFERROR(__xludf.dummyfunction("""COMPUTED_VALUE"""),43825)</f>
        <v>43825</v>
      </c>
      <c r="F59" s="9" t="n">
        <f aca="false">IFERROR(__xludf.dummyfunction("""COMPUTED_VALUE"""),15000)</f>
        <v>15000</v>
      </c>
      <c r="G59" s="2" t="n">
        <f aca="false">IFERROR(__xludf.dummyfunction("""COMPUTED_VALUE"""),30)</f>
        <v>30</v>
      </c>
      <c r="H59" s="2" t="n">
        <f aca="false">IFERROR(__xludf.dummyfunction("""COMPUTED_VALUE"""),30)</f>
        <v>30</v>
      </c>
      <c r="I59" s="9" t="n">
        <f aca="false">IFERROR(__xludf.dummyfunction("""COMPUTED_VALUE"""),180000)</f>
        <v>180000</v>
      </c>
      <c r="J59" s="9" t="n">
        <f aca="false">IFERROR(__xludf.dummyfunction("""COMPUTED_VALUE"""),254)</f>
        <v>254</v>
      </c>
      <c r="K59" s="9"/>
      <c r="L59" s="9" t="n">
        <f aca="false">IFERROR(__xludf.dummyfunction("""COMPUTED_VALUE"""),0)</f>
        <v>0</v>
      </c>
      <c r="M59" s="9"/>
    </row>
    <row r="60" customFormat="false" ht="15.75" hidden="false" customHeight="false" outlineLevel="0" collapsed="false">
      <c r="A60" s="2" t="str">
        <f aca="false">IFERROR(__xludf.dummyfunction("""COMPUTED_VALUE"""),"SHKJ/KAN/1211")</f>
        <v>SHKJ/KAN/1211</v>
      </c>
      <c r="B60" s="2" t="str">
        <f aca="false">IFERROR(__xludf.dummyfunction("""COMPUTED_VALUE"""),"Shaik Shahinaz")</f>
        <v>Shaik Shahinaz</v>
      </c>
      <c r="C60" s="2" t="str">
        <f aca="false">IFERROR(__xludf.dummyfunction("""COMPUTED_VALUE"""),"Events  ")</f>
        <v>Events  </v>
      </c>
      <c r="D60" s="2" t="str">
        <f aca="false">IFERROR(__xludf.dummyfunction("""COMPUTED_VALUE"""),"Kanha")</f>
        <v>Kanha</v>
      </c>
      <c r="E60" s="16" t="n">
        <f aca="false">IFERROR(__xludf.dummyfunction("""COMPUTED_VALUE"""),43703)</f>
        <v>43703</v>
      </c>
      <c r="F60" s="9" t="n">
        <f aca="false">IFERROR(__xludf.dummyfunction("""COMPUTED_VALUE"""),10000)</f>
        <v>10000</v>
      </c>
      <c r="G60" s="2" t="n">
        <f aca="false">IFERROR(__xludf.dummyfunction("""COMPUTED_VALUE"""),30)</f>
        <v>30</v>
      </c>
      <c r="H60" s="2" t="n">
        <f aca="false">IFERROR(__xludf.dummyfunction("""COMPUTED_VALUE"""),30)</f>
        <v>30</v>
      </c>
      <c r="I60" s="9" t="n">
        <f aca="false">IFERROR(__xludf.dummyfunction("""COMPUTED_VALUE"""),120000)</f>
        <v>120000</v>
      </c>
      <c r="J60" s="9" t="n">
        <f aca="false">IFERROR(__xludf.dummyfunction("""COMPUTED_VALUE"""),61)</f>
        <v>61</v>
      </c>
      <c r="K60" s="9"/>
      <c r="L60" s="9" t="n">
        <f aca="false">IFERROR(__xludf.dummyfunction("""COMPUTED_VALUE"""),0)</f>
        <v>0</v>
      </c>
      <c r="M60" s="9"/>
    </row>
    <row r="61" customFormat="false" ht="15.75" hidden="false" customHeight="false" outlineLevel="0" collapsed="false">
      <c r="A61" s="2" t="str">
        <f aca="false">IFERROR(__xludf.dummyfunction("""COMPUTED_VALUE"""),"SMSF/KAN/1459")</f>
        <v>SMSF/KAN/1459</v>
      </c>
      <c r="B61" s="2" t="str">
        <f aca="false">IFERROR(__xludf.dummyfunction("""COMPUTED_VALUE"""),"G. Supriya")</f>
        <v>G. Supriya</v>
      </c>
      <c r="C61" s="2" t="str">
        <f aca="false">IFERROR(__xludf.dummyfunction("""COMPUTED_VALUE"""),"Kanha-FMC")</f>
        <v>Kanha-FMC</v>
      </c>
      <c r="D61" s="2" t="str">
        <f aca="false">IFERROR(__xludf.dummyfunction("""COMPUTED_VALUE"""),"Kanha")</f>
        <v>Kanha</v>
      </c>
      <c r="E61" s="16" t="n">
        <f aca="false">IFERROR(__xludf.dummyfunction("""COMPUTED_VALUE"""),43904)</f>
        <v>43904</v>
      </c>
      <c r="F61" s="9" t="n">
        <f aca="false">IFERROR(__xludf.dummyfunction("""COMPUTED_VALUE"""),15000)</f>
        <v>15000</v>
      </c>
      <c r="G61" s="2" t="n">
        <f aca="false">IFERROR(__xludf.dummyfunction("""COMPUTED_VALUE"""),30)</f>
        <v>30</v>
      </c>
      <c r="H61" s="2" t="n">
        <f aca="false">IFERROR(__xludf.dummyfunction("""COMPUTED_VALUE"""),30)</f>
        <v>30</v>
      </c>
      <c r="I61" s="9" t="n">
        <f aca="false">IFERROR(__xludf.dummyfunction("""COMPUTED_VALUE"""),180000)</f>
        <v>180000</v>
      </c>
      <c r="J61" s="9" t="n">
        <f aca="false">IFERROR(__xludf.dummyfunction("""COMPUTED_VALUE"""),63)</f>
        <v>63</v>
      </c>
      <c r="K61" s="9"/>
      <c r="L61" s="9" t="n">
        <f aca="false">IFERROR(__xludf.dummyfunction("""COMPUTED_VALUE"""),0)</f>
        <v>0</v>
      </c>
      <c r="M61" s="9"/>
    </row>
    <row r="62" customFormat="false" ht="15.75" hidden="false" customHeight="false" outlineLevel="0" collapsed="false">
      <c r="A62" s="2" t="str">
        <f aca="false">IFERROR(__xludf.dummyfunction("""COMPUTED_VALUE"""),"SHKJ/KAN/1455")</f>
        <v>SHKJ/KAN/1455</v>
      </c>
      <c r="B62" s="2" t="str">
        <f aca="false">IFERROR(__xludf.dummyfunction("""COMPUTED_VALUE"""),"M. Sangeetha")</f>
        <v>M. Sangeetha</v>
      </c>
      <c r="C62" s="2" t="str">
        <f aca="false">IFERROR(__xludf.dummyfunction("""COMPUTED_VALUE"""),"Kanha-Accounts")</f>
        <v>Kanha-Accounts</v>
      </c>
      <c r="D62" s="2" t="str">
        <f aca="false">IFERROR(__xludf.dummyfunction("""COMPUTED_VALUE"""),"Kanha")</f>
        <v>Kanha</v>
      </c>
      <c r="E62" s="16" t="n">
        <f aca="false">IFERROR(__xludf.dummyfunction("""COMPUTED_VALUE"""),43847)</f>
        <v>43847</v>
      </c>
      <c r="F62" s="9" t="n">
        <f aca="false">IFERROR(__xludf.dummyfunction("""COMPUTED_VALUE"""),10000)</f>
        <v>10000</v>
      </c>
      <c r="G62" s="2" t="n">
        <f aca="false">IFERROR(__xludf.dummyfunction("""COMPUTED_VALUE"""),30)</f>
        <v>30</v>
      </c>
      <c r="H62" s="2" t="n">
        <f aca="false">IFERROR(__xludf.dummyfunction("""COMPUTED_VALUE"""),30)</f>
        <v>30</v>
      </c>
      <c r="I62" s="9" t="n">
        <f aca="false">IFERROR(__xludf.dummyfunction("""COMPUTED_VALUE"""),120000)</f>
        <v>120000</v>
      </c>
      <c r="J62" s="9" t="n">
        <f aca="false">IFERROR(__xludf.dummyfunction("""COMPUTED_VALUE"""),0)</f>
        <v>0</v>
      </c>
      <c r="K62" s="9"/>
      <c r="L62" s="9" t="n">
        <f aca="false">IFERROR(__xludf.dummyfunction("""COMPUTED_VALUE"""),0)</f>
        <v>0</v>
      </c>
      <c r="M62" s="9"/>
    </row>
    <row r="63" customFormat="false" ht="15.75" hidden="false" customHeight="false" outlineLevel="0" collapsed="false">
      <c r="A63" s="2" t="str">
        <f aca="false">IFERROR(__xludf.dummyfunction("""COMPUTED_VALUE"""),"SMSF/KAN/0724")</f>
        <v>SMSF/KAN/0724</v>
      </c>
      <c r="B63" s="2" t="str">
        <f aca="false">IFERROR(__xludf.dummyfunction("""COMPUTED_VALUE"""),"K Radhika")</f>
        <v>K Radhika</v>
      </c>
      <c r="C63" s="2" t="str">
        <f aca="false">IFERROR(__xludf.dummyfunction("""COMPUTED_VALUE"""),"Solid Waste Mgmt")</f>
        <v>Solid Waste Mgmt</v>
      </c>
      <c r="D63" s="2" t="str">
        <f aca="false">IFERROR(__xludf.dummyfunction("""COMPUTED_VALUE"""),"Kanha")</f>
        <v>Kanha</v>
      </c>
      <c r="E63" s="16" t="n">
        <f aca="false">IFERROR(__xludf.dummyfunction("""COMPUTED_VALUE"""),43222)</f>
        <v>43222</v>
      </c>
      <c r="F63" s="9" t="n">
        <f aca="false">IFERROR(__xludf.dummyfunction("""COMPUTED_VALUE"""),13200)</f>
        <v>13200</v>
      </c>
      <c r="G63" s="2" t="n">
        <f aca="false">IFERROR(__xludf.dummyfunction("""COMPUTED_VALUE"""),30)</f>
        <v>30</v>
      </c>
      <c r="H63" s="2" t="n">
        <f aca="false">IFERROR(__xludf.dummyfunction("""COMPUTED_VALUE"""),30)</f>
        <v>30</v>
      </c>
      <c r="I63" s="9" t="n">
        <f aca="false">IFERROR(__xludf.dummyfunction("""COMPUTED_VALUE"""),158400)</f>
        <v>158400</v>
      </c>
      <c r="J63" s="9" t="n">
        <f aca="false">IFERROR(__xludf.dummyfunction("""COMPUTED_VALUE"""),195)</f>
        <v>195</v>
      </c>
      <c r="K63" s="9"/>
      <c r="L63" s="9" t="n">
        <f aca="false">IFERROR(__xludf.dummyfunction("""COMPUTED_VALUE"""),0)</f>
        <v>0</v>
      </c>
      <c r="M63" s="9"/>
    </row>
    <row r="64" customFormat="false" ht="15.75" hidden="false" customHeight="false" outlineLevel="0" collapsed="false">
      <c r="A64" s="2" t="str">
        <f aca="false">IFERROR(__xludf.dummyfunction("""COMPUTED_VALUE"""),"SMSF/KAN/1018")</f>
        <v>SMSF/KAN/1018</v>
      </c>
      <c r="B64" s="2" t="str">
        <f aca="false">IFERROR(__xludf.dummyfunction("""COMPUTED_VALUE"""),"B VENKTESH")</f>
        <v>B VENKTESH</v>
      </c>
      <c r="C64" s="2" t="str">
        <f aca="false">IFERROR(__xludf.dummyfunction("""COMPUTED_VALUE"""),"Solid Waste Mgmt")</f>
        <v>Solid Waste Mgmt</v>
      </c>
      <c r="D64" s="2" t="str">
        <f aca="false">IFERROR(__xludf.dummyfunction("""COMPUTED_VALUE"""),"Kanha")</f>
        <v>Kanha</v>
      </c>
      <c r="E64" s="16" t="n">
        <f aca="false">IFERROR(__xludf.dummyfunction("""COMPUTED_VALUE"""),43526)</f>
        <v>43526</v>
      </c>
      <c r="F64" s="9" t="n">
        <f aca="false">IFERROR(__xludf.dummyfunction("""COMPUTED_VALUE"""),14000)</f>
        <v>14000</v>
      </c>
      <c r="G64" s="2" t="n">
        <f aca="false">IFERROR(__xludf.dummyfunction("""COMPUTED_VALUE"""),30)</f>
        <v>30</v>
      </c>
      <c r="H64" s="2" t="n">
        <f aca="false">IFERROR(__xludf.dummyfunction("""COMPUTED_VALUE"""),30)</f>
        <v>30</v>
      </c>
      <c r="I64" s="9" t="n">
        <f aca="false">IFERROR(__xludf.dummyfunction("""COMPUTED_VALUE"""),168000)</f>
        <v>168000</v>
      </c>
      <c r="J64" s="9" t="n">
        <f aca="false">IFERROR(__xludf.dummyfunction("""COMPUTED_VALUE"""),56)</f>
        <v>56</v>
      </c>
      <c r="K64" s="9"/>
      <c r="L64" s="9" t="n">
        <f aca="false">IFERROR(__xludf.dummyfunction("""COMPUTED_VALUE"""),0)</f>
        <v>0</v>
      </c>
      <c r="M64" s="9"/>
    </row>
    <row r="65" customFormat="false" ht="15.75" hidden="false" customHeight="false" outlineLevel="0" collapsed="false">
      <c r="A65" s="2" t="str">
        <f aca="false">IFERROR(__xludf.dummyfunction("""COMPUTED_VALUE"""),"SMSF/BMA/0474")</f>
        <v>SMSF/BMA/0474</v>
      </c>
      <c r="B65" s="2" t="str">
        <f aca="false">IFERROR(__xludf.dummyfunction("""COMPUTED_VALUE"""),"ST.SRIDHAR")</f>
        <v>ST.SRIDHAR</v>
      </c>
      <c r="C65" s="2" t="str">
        <f aca="false">IFERROR(__xludf.dummyfunction("""COMPUTED_VALUE"""),"Accounts")</f>
        <v>Accounts</v>
      </c>
      <c r="D65" s="2" t="str">
        <f aca="false">IFERROR(__xludf.dummyfunction("""COMPUTED_VALUE"""),"BMA")</f>
        <v>BMA</v>
      </c>
      <c r="E65" s="16" t="n">
        <f aca="false">IFERROR(__xludf.dummyfunction("""COMPUTED_VALUE"""),40269)</f>
        <v>40269</v>
      </c>
      <c r="F65" s="9" t="n">
        <f aca="false">IFERROR(__xludf.dummyfunction("""COMPUTED_VALUE"""),68495)</f>
        <v>68495</v>
      </c>
      <c r="G65" s="2" t="n">
        <f aca="false">IFERROR(__xludf.dummyfunction("""COMPUTED_VALUE"""),30)</f>
        <v>30</v>
      </c>
      <c r="H65" s="2" t="n">
        <f aca="false">IFERROR(__xludf.dummyfunction("""COMPUTED_VALUE"""),30)</f>
        <v>30</v>
      </c>
      <c r="I65" s="9" t="n">
        <f aca="false">IFERROR(__xludf.dummyfunction("""COMPUTED_VALUE"""),821940)</f>
        <v>821940</v>
      </c>
      <c r="J65" s="9" t="n">
        <f aca="false">IFERROR(__xludf.dummyfunction("""COMPUTED_VALUE"""),297)</f>
        <v>297</v>
      </c>
      <c r="K65" s="9"/>
      <c r="L65" s="9" t="n">
        <f aca="false">IFERROR(__xludf.dummyfunction("""COMPUTED_VALUE"""),0)</f>
        <v>0</v>
      </c>
      <c r="M65" s="9"/>
    </row>
    <row r="66" customFormat="false" ht="15.75" hidden="false" customHeight="false" outlineLevel="0" collapsed="false">
      <c r="A66" s="2" t="str">
        <f aca="false">IFERROR(__xludf.dummyfunction("""COMPUTED_VALUE"""),"SMSF/BMA/0468")</f>
        <v>SMSF/BMA/0468</v>
      </c>
      <c r="B66" s="2" t="str">
        <f aca="false">IFERROR(__xludf.dummyfunction("""COMPUTED_VALUE"""),"C.N.V.RAGHAVAN")</f>
        <v>C.N.V.RAGHAVAN</v>
      </c>
      <c r="C66" s="2" t="str">
        <f aca="false">IFERROR(__xludf.dummyfunction("""COMPUTED_VALUE"""),"Accounts")</f>
        <v>Accounts</v>
      </c>
      <c r="D66" s="2" t="str">
        <f aca="false">IFERROR(__xludf.dummyfunction("""COMPUTED_VALUE"""),"BMA")</f>
        <v>BMA</v>
      </c>
      <c r="E66" s="16" t="n">
        <f aca="false">IFERROR(__xludf.dummyfunction("""COMPUTED_VALUE"""),41227)</f>
        <v>41227</v>
      </c>
      <c r="F66" s="9"/>
      <c r="G66" s="2"/>
      <c r="H66" s="2"/>
      <c r="I66" s="9"/>
      <c r="J66" s="9" t="n">
        <f aca="false">IFERROR(__xludf.dummyfunction("""COMPUTED_VALUE"""),184)</f>
        <v>184</v>
      </c>
      <c r="K66" s="9"/>
      <c r="L66" s="9" t="n">
        <f aca="false">IFERROR(__xludf.dummyfunction("""COMPUTED_VALUE"""),0)</f>
        <v>0</v>
      </c>
      <c r="M66" s="9"/>
    </row>
    <row r="67" customFormat="false" ht="15.75" hidden="false" customHeight="false" outlineLevel="0" collapsed="false">
      <c r="A67" s="2" t="str">
        <f aca="false">IFERROR(__xludf.dummyfunction("""COMPUTED_VALUE"""),"SMSF/BMA/0493")</f>
        <v>SMSF/BMA/0493</v>
      </c>
      <c r="B67" s="2" t="str">
        <f aca="false">IFERROR(__xludf.dummyfunction("""COMPUTED_VALUE"""),"KRISHNA PAL SINGH")</f>
        <v>KRISHNA PAL SINGH</v>
      </c>
      <c r="C67" s="2" t="str">
        <f aca="false">IFERROR(__xludf.dummyfunction("""COMPUTED_VALUE"""),"Land Records")</f>
        <v>Land Records</v>
      </c>
      <c r="D67" s="2" t="str">
        <f aca="false">IFERROR(__xludf.dummyfunction("""COMPUTED_VALUE"""),"BMA")</f>
        <v>BMA</v>
      </c>
      <c r="E67" s="16" t="n">
        <f aca="false">IFERROR(__xludf.dummyfunction("""COMPUTED_VALUE"""),41000)</f>
        <v>41000</v>
      </c>
      <c r="F67" s="9" t="n">
        <f aca="false">IFERROR(__xludf.dummyfunction("""COMPUTED_VALUE"""),53750)</f>
        <v>53750</v>
      </c>
      <c r="G67" s="2" t="n">
        <f aca="false">IFERROR(__xludf.dummyfunction("""COMPUTED_VALUE"""),30)</f>
        <v>30</v>
      </c>
      <c r="H67" s="2" t="n">
        <f aca="false">IFERROR(__xludf.dummyfunction("""COMPUTED_VALUE"""),30)</f>
        <v>30</v>
      </c>
      <c r="I67" s="9" t="n">
        <f aca="false">IFERROR(__xludf.dummyfunction("""COMPUTED_VALUE"""),645000)</f>
        <v>645000</v>
      </c>
      <c r="J67" s="9" t="n">
        <f aca="false">IFERROR(__xludf.dummyfunction("""COMPUTED_VALUE"""),281)</f>
        <v>281</v>
      </c>
      <c r="K67" s="9"/>
      <c r="L67" s="9" t="n">
        <f aca="false">IFERROR(__xludf.dummyfunction("""COMPUTED_VALUE"""),0)</f>
        <v>0</v>
      </c>
      <c r="M67" s="9"/>
    </row>
    <row r="68" customFormat="false" ht="15.75" hidden="false" customHeight="false" outlineLevel="0" collapsed="false">
      <c r="A68" s="2" t="str">
        <f aca="false">IFERROR(__xludf.dummyfunction("""COMPUTED_VALUE"""),"SMSF/BMA/0647")</f>
        <v>SMSF/BMA/0647</v>
      </c>
      <c r="B68" s="2" t="str">
        <f aca="false">IFERROR(__xludf.dummyfunction("""COMPUTED_VALUE"""),"K.PADMANABHAN")</f>
        <v>K.PADMANABHAN</v>
      </c>
      <c r="C68" s="2" t="str">
        <f aca="false">IFERROR(__xludf.dummyfunction("""COMPUTED_VALUE"""),"Transfort Desk")</f>
        <v>Transfort Desk</v>
      </c>
      <c r="D68" s="2" t="str">
        <f aca="false">IFERROR(__xludf.dummyfunction("""COMPUTED_VALUE"""),"Kanha")</f>
        <v>Kanha</v>
      </c>
      <c r="E68" s="16" t="n">
        <f aca="false">IFERROR(__xludf.dummyfunction("""COMPUTED_VALUE"""),41426)</f>
        <v>41426</v>
      </c>
      <c r="F68" s="9" t="n">
        <f aca="false">IFERROR(__xludf.dummyfunction("""COMPUTED_VALUE"""),19800)</f>
        <v>19800</v>
      </c>
      <c r="G68" s="2" t="n">
        <f aca="false">IFERROR(__xludf.dummyfunction("""COMPUTED_VALUE"""),30)</f>
        <v>30</v>
      </c>
      <c r="H68" s="2" t="n">
        <f aca="false">IFERROR(__xludf.dummyfunction("""COMPUTED_VALUE"""),30)</f>
        <v>30</v>
      </c>
      <c r="I68" s="9" t="n">
        <f aca="false">IFERROR(__xludf.dummyfunction("""COMPUTED_VALUE"""),237600)</f>
        <v>237600</v>
      </c>
      <c r="J68" s="9" t="n">
        <f aca="false">IFERROR(__xludf.dummyfunction("""COMPUTED_VALUE"""),253)</f>
        <v>253</v>
      </c>
      <c r="K68" s="9"/>
      <c r="L68" s="9" t="n">
        <f aca="false">IFERROR(__xludf.dummyfunction("""COMPUTED_VALUE"""),0)</f>
        <v>0</v>
      </c>
      <c r="M68" s="9"/>
    </row>
    <row r="69" customFormat="false" ht="15.75" hidden="false" customHeight="false" outlineLevel="0" collapsed="false">
      <c r="A69" s="2" t="str">
        <f aca="false">IFERROR(__xludf.dummyfunction("""COMPUTED_VALUE"""),"SMSF/BMA/0449")</f>
        <v>SMSF/BMA/0449</v>
      </c>
      <c r="B69" s="2" t="str">
        <f aca="false">IFERROR(__xludf.dummyfunction("""COMPUTED_VALUE"""),"DURGA")</f>
        <v>DURGA</v>
      </c>
      <c r="C69" s="2" t="str">
        <f aca="false">IFERROR(__xludf.dummyfunction("""COMPUTED_VALUE"""),"Accounts")</f>
        <v>Accounts</v>
      </c>
      <c r="D69" s="2" t="str">
        <f aca="false">IFERROR(__xludf.dummyfunction("""COMPUTED_VALUE"""),"BMA")</f>
        <v>BMA</v>
      </c>
      <c r="E69" s="16" t="n">
        <f aca="false">IFERROR(__xludf.dummyfunction("""COMPUTED_VALUE"""),38961)</f>
        <v>38961</v>
      </c>
      <c r="F69" s="9" t="n">
        <f aca="false">IFERROR(__xludf.dummyfunction("""COMPUTED_VALUE"""),11385)</f>
        <v>11385</v>
      </c>
      <c r="G69" s="2" t="n">
        <f aca="false">IFERROR(__xludf.dummyfunction("""COMPUTED_VALUE"""),30)</f>
        <v>30</v>
      </c>
      <c r="H69" s="2" t="n">
        <f aca="false">IFERROR(__xludf.dummyfunction("""COMPUTED_VALUE"""),30)</f>
        <v>30</v>
      </c>
      <c r="I69" s="9" t="n">
        <f aca="false">IFERROR(__xludf.dummyfunction("""COMPUTED_VALUE"""),136620)</f>
        <v>136620</v>
      </c>
      <c r="J69" s="9" t="n">
        <f aca="false">IFERROR(__xludf.dummyfunction("""COMPUTED_VALUE"""),325)</f>
        <v>325</v>
      </c>
      <c r="K69" s="9"/>
      <c r="L69" s="9" t="n">
        <f aca="false">IFERROR(__xludf.dummyfunction("""COMPUTED_VALUE"""),0)</f>
        <v>0</v>
      </c>
      <c r="M69" s="9"/>
    </row>
    <row r="70" customFormat="false" ht="15.75" hidden="false" customHeight="false" outlineLevel="0" collapsed="false">
      <c r="A70" s="2" t="str">
        <f aca="false">IFERROR(__xludf.dummyfunction("""COMPUTED_VALUE"""),"SMSF/KAN/0575")</f>
        <v>SMSF/KAN/0575</v>
      </c>
      <c r="B70" s="2" t="str">
        <f aca="false">IFERROR(__xludf.dummyfunction("""COMPUTED_VALUE"""),"Thirunavukarasu")</f>
        <v>Thirunavukarasu</v>
      </c>
      <c r="C70" s="2" t="str">
        <f aca="false">IFERROR(__xludf.dummyfunction("""COMPUTED_VALUE"""),"CIVIL ")</f>
        <v>CIVIL </v>
      </c>
      <c r="D70" s="2" t="str">
        <f aca="false">IFERROR(__xludf.dummyfunction("""COMPUTED_VALUE"""),"BMA")</f>
        <v>BMA</v>
      </c>
      <c r="E70" s="16" t="n">
        <f aca="false">IFERROR(__xludf.dummyfunction("""COMPUTED_VALUE"""),41913)</f>
        <v>41913</v>
      </c>
      <c r="F70" s="9" t="n">
        <f aca="false">IFERROR(__xludf.dummyfunction("""COMPUTED_VALUE"""),103000)</f>
        <v>103000</v>
      </c>
      <c r="G70" s="2" t="n">
        <f aca="false">IFERROR(__xludf.dummyfunction("""COMPUTED_VALUE"""),30)</f>
        <v>30</v>
      </c>
      <c r="H70" s="2" t="n">
        <f aca="false">IFERROR(__xludf.dummyfunction("""COMPUTED_VALUE"""),30)</f>
        <v>30</v>
      </c>
      <c r="I70" s="9" t="n">
        <f aca="false">IFERROR(__xludf.dummyfunction("""COMPUTED_VALUE"""),1236000)</f>
        <v>1236000</v>
      </c>
      <c r="J70" s="9" t="n">
        <f aca="false">IFERROR(__xludf.dummyfunction("""COMPUTED_VALUE"""),611)</f>
        <v>611</v>
      </c>
      <c r="K70" s="9"/>
      <c r="L70" s="9" t="n">
        <f aca="false">IFERROR(__xludf.dummyfunction("""COMPUTED_VALUE"""),0)</f>
        <v>0</v>
      </c>
      <c r="M70" s="9"/>
    </row>
    <row r="71" customFormat="false" ht="15.75" hidden="false" customHeight="false" outlineLevel="0" collapsed="false">
      <c r="A71" s="2" t="str">
        <f aca="false">IFERROR(__xludf.dummyfunction("""COMPUTED_VALUE"""),"SMSF/BMA/0311")</f>
        <v>SMSF/BMA/0311</v>
      </c>
      <c r="B71" s="2" t="str">
        <f aca="false">IFERROR(__xludf.dummyfunction("""COMPUTED_VALUE"""),"G. PADMANATHAN")</f>
        <v>G. PADMANATHAN</v>
      </c>
      <c r="C71" s="2" t="str">
        <f aca="false">IFERROR(__xludf.dummyfunction("""COMPUTED_VALUE"""),"Accounts")</f>
        <v>Accounts</v>
      </c>
      <c r="D71" s="2" t="str">
        <f aca="false">IFERROR(__xludf.dummyfunction("""COMPUTED_VALUE"""),"BMA")</f>
        <v>BMA</v>
      </c>
      <c r="E71" s="16" t="n">
        <f aca="false">IFERROR(__xludf.dummyfunction("""COMPUTED_VALUE"""),42006)</f>
        <v>42006</v>
      </c>
      <c r="F71" s="9" t="n">
        <f aca="false">IFERROR(__xludf.dummyfunction("""COMPUTED_VALUE"""),21120)</f>
        <v>21120</v>
      </c>
      <c r="G71" s="2" t="n">
        <f aca="false">IFERROR(__xludf.dummyfunction("""COMPUTED_VALUE"""),30)</f>
        <v>30</v>
      </c>
      <c r="H71" s="2" t="n">
        <f aca="false">IFERROR(__xludf.dummyfunction("""COMPUTED_VALUE"""),30)</f>
        <v>30</v>
      </c>
      <c r="I71" s="9" t="n">
        <f aca="false">IFERROR(__xludf.dummyfunction("""COMPUTED_VALUE"""),253440)</f>
        <v>253440</v>
      </c>
      <c r="J71" s="9" t="n">
        <f aca="false">IFERROR(__xludf.dummyfunction("""COMPUTED_VALUE"""),190)</f>
        <v>190</v>
      </c>
      <c r="K71" s="9"/>
      <c r="L71" s="9" t="n">
        <f aca="false">IFERROR(__xludf.dummyfunction("""COMPUTED_VALUE"""),0)</f>
        <v>0</v>
      </c>
      <c r="M71" s="9"/>
    </row>
    <row r="72" customFormat="false" ht="15.75" hidden="false" customHeight="false" outlineLevel="0" collapsed="false">
      <c r="A72" s="2" t="str">
        <f aca="false">IFERROR(__xludf.dummyfunction("""COMPUTED_VALUE"""),"SMSF/TRL/0390")</f>
        <v>SMSF/TRL/0390</v>
      </c>
      <c r="B72" s="2" t="str">
        <f aca="false">IFERROR(__xludf.dummyfunction("""COMPUTED_VALUE"""),"THIRUMALAIAH")</f>
        <v>THIRUMALAIAH</v>
      </c>
      <c r="C72" s="2" t="str">
        <f aca="false">IFERROR(__xludf.dummyfunction("""COMPUTED_VALUE"""),"Electrical")</f>
        <v>Electrical</v>
      </c>
      <c r="D72" s="2" t="str">
        <f aca="false">IFERROR(__xludf.dummyfunction("""COMPUTED_VALUE"""),"Tiruvallur")</f>
        <v>Tiruvallur</v>
      </c>
      <c r="E72" s="16" t="n">
        <f aca="false">IFERROR(__xludf.dummyfunction("""COMPUTED_VALUE"""),42014)</f>
        <v>42014</v>
      </c>
      <c r="F72" s="9" t="n">
        <f aca="false">IFERROR(__xludf.dummyfunction("""COMPUTED_VALUE"""),11000)</f>
        <v>11000</v>
      </c>
      <c r="G72" s="2" t="n">
        <f aca="false">IFERROR(__xludf.dummyfunction("""COMPUTED_VALUE"""),30)</f>
        <v>30</v>
      </c>
      <c r="H72" s="2" t="n">
        <f aca="false">IFERROR(__xludf.dummyfunction("""COMPUTED_VALUE"""),30)</f>
        <v>30</v>
      </c>
      <c r="I72" s="9" t="n">
        <f aca="false">IFERROR(__xludf.dummyfunction("""COMPUTED_VALUE"""),132000)</f>
        <v>132000</v>
      </c>
      <c r="J72" s="9" t="n">
        <f aca="false">IFERROR(__xludf.dummyfunction("""COMPUTED_VALUE"""),70)</f>
        <v>70</v>
      </c>
      <c r="K72" s="9"/>
      <c r="L72" s="9" t="n">
        <f aca="false">IFERROR(__xludf.dummyfunction("""COMPUTED_VALUE"""),0)</f>
        <v>0</v>
      </c>
      <c r="M72" s="9"/>
    </row>
    <row r="73" customFormat="false" ht="15.75" hidden="false" customHeight="false" outlineLevel="0" collapsed="false">
      <c r="A73" s="2" t="str">
        <f aca="false">IFERROR(__xludf.dummyfunction("""COMPUTED_VALUE"""),"SMSF/BMA/0476")</f>
        <v>SMSF/BMA/0476</v>
      </c>
      <c r="B73" s="2" t="str">
        <f aca="false">IFERROR(__xludf.dummyfunction("""COMPUTED_VALUE"""),"S SHANMUGARAJA")</f>
        <v>S SHANMUGARAJA</v>
      </c>
      <c r="C73" s="2" t="str">
        <f aca="false">IFERROR(__xludf.dummyfunction("""COMPUTED_VALUE"""),"Accounts")</f>
        <v>Accounts</v>
      </c>
      <c r="D73" s="2" t="str">
        <f aca="false">IFERROR(__xludf.dummyfunction("""COMPUTED_VALUE"""),"BMA")</f>
        <v>BMA</v>
      </c>
      <c r="E73" s="16" t="n">
        <f aca="false">IFERROR(__xludf.dummyfunction("""COMPUTED_VALUE"""),42461)</f>
        <v>42461</v>
      </c>
      <c r="F73" s="9" t="n">
        <f aca="false">IFERROR(__xludf.dummyfunction("""COMPUTED_VALUE"""),22000)</f>
        <v>22000</v>
      </c>
      <c r="G73" s="2" t="n">
        <f aca="false">IFERROR(__xludf.dummyfunction("""COMPUTED_VALUE"""),30)</f>
        <v>30</v>
      </c>
      <c r="H73" s="2" t="n">
        <f aca="false">IFERROR(__xludf.dummyfunction("""COMPUTED_VALUE"""),30)</f>
        <v>30</v>
      </c>
      <c r="I73" s="9" t="n">
        <f aca="false">IFERROR(__xludf.dummyfunction("""COMPUTED_VALUE"""),264000)</f>
        <v>264000</v>
      </c>
      <c r="J73" s="9" t="n">
        <f aca="false">IFERROR(__xludf.dummyfunction("""COMPUTED_VALUE"""),190)</f>
        <v>190</v>
      </c>
      <c r="K73" s="9"/>
      <c r="L73" s="9" t="n">
        <f aca="false">IFERROR(__xludf.dummyfunction("""COMPUTED_VALUE"""),0)</f>
        <v>0</v>
      </c>
      <c r="M73" s="9"/>
    </row>
    <row r="74" customFormat="false" ht="15.75" hidden="false" customHeight="false" outlineLevel="0" collapsed="false">
      <c r="A74" s="2" t="str">
        <f aca="false">IFERROR(__xludf.dummyfunction("""COMPUTED_VALUE"""),"SMSF/SBC/0652")</f>
        <v>SMSF/SBC/0652</v>
      </c>
      <c r="B74" s="2" t="str">
        <f aca="false">IFERROR(__xludf.dummyfunction("""COMPUTED_VALUE"""),"Mohan Das Hedge")</f>
        <v>Mohan Das Hedge</v>
      </c>
      <c r="C74" s="2" t="str">
        <f aca="false">IFERROR(__xludf.dummyfunction("""COMPUTED_VALUE"""),"CREST")</f>
        <v>CREST</v>
      </c>
      <c r="D74" s="2" t="str">
        <f aca="false">IFERROR(__xludf.dummyfunction("""COMPUTED_VALUE"""),"Bangalore")</f>
        <v>Bangalore</v>
      </c>
      <c r="E74" s="2"/>
      <c r="F74" s="9" t="n">
        <f aca="false">IFERROR(__xludf.dummyfunction("""COMPUTED_VALUE"""),76220)</f>
        <v>76220</v>
      </c>
      <c r="G74" s="2" t="n">
        <f aca="false">IFERROR(__xludf.dummyfunction("""COMPUTED_VALUE"""),30)</f>
        <v>30</v>
      </c>
      <c r="H74" s="2" t="n">
        <f aca="false">IFERROR(__xludf.dummyfunction("""COMPUTED_VALUE"""),30)</f>
        <v>30</v>
      </c>
      <c r="I74" s="9" t="n">
        <f aca="false">IFERROR(__xludf.dummyfunction("""COMPUTED_VALUE"""),914640)</f>
        <v>914640</v>
      </c>
      <c r="J74" s="9" t="n">
        <f aca="false">IFERROR(__xludf.dummyfunction("""COMPUTED_VALUE"""),0)</f>
        <v>0</v>
      </c>
      <c r="K74" s="9"/>
      <c r="L74" s="9" t="n">
        <f aca="false">IFERROR(__xludf.dummyfunction("""COMPUTED_VALUE"""),0)</f>
        <v>0</v>
      </c>
      <c r="M74" s="9"/>
    </row>
    <row r="75" customFormat="false" ht="15.75" hidden="false" customHeight="false" outlineLevel="0" collapsed="false">
      <c r="A75" s="2" t="str">
        <f aca="false">IFERROR(__xludf.dummyfunction("""COMPUTED_VALUE"""),"SMSF/TRL/0363")</f>
        <v>SMSF/TRL/0363</v>
      </c>
      <c r="B75" s="2" t="str">
        <f aca="false">IFERROR(__xludf.dummyfunction("""COMPUTED_VALUE"""),"P. SEKAR")</f>
        <v>P. SEKAR</v>
      </c>
      <c r="C75" s="2" t="str">
        <f aca="false">IFERROR(__xludf.dummyfunction("""COMPUTED_VALUE"""),"Garden")</f>
        <v>Garden</v>
      </c>
      <c r="D75" s="2" t="str">
        <f aca="false">IFERROR(__xludf.dummyfunction("""COMPUTED_VALUE"""),"Tiruvallur")</f>
        <v>Tiruvallur</v>
      </c>
      <c r="E75" s="16" t="n">
        <f aca="false">IFERROR(__xludf.dummyfunction("""COMPUTED_VALUE"""),41548)</f>
        <v>41548</v>
      </c>
      <c r="F75" s="9" t="n">
        <f aca="false">IFERROR(__xludf.dummyfunction("""COMPUTED_VALUE"""),13750)</f>
        <v>13750</v>
      </c>
      <c r="G75" s="2" t="n">
        <f aca="false">IFERROR(__xludf.dummyfunction("""COMPUTED_VALUE"""),30)</f>
        <v>30</v>
      </c>
      <c r="H75" s="2" t="n">
        <f aca="false">IFERROR(__xludf.dummyfunction("""COMPUTED_VALUE"""),30)</f>
        <v>30</v>
      </c>
      <c r="I75" s="9" t="n">
        <f aca="false">IFERROR(__xludf.dummyfunction("""COMPUTED_VALUE"""),165000)</f>
        <v>165000</v>
      </c>
      <c r="J75" s="9" t="n">
        <f aca="false">IFERROR(__xludf.dummyfunction("""COMPUTED_VALUE"""),377)</f>
        <v>377</v>
      </c>
      <c r="K75" s="9"/>
      <c r="L75" s="9" t="n">
        <f aca="false">IFERROR(__xludf.dummyfunction("""COMPUTED_VALUE"""),0)</f>
        <v>0</v>
      </c>
      <c r="M75" s="9"/>
    </row>
    <row r="76" customFormat="false" ht="15.75" hidden="false" customHeight="false" outlineLevel="0" collapsed="false">
      <c r="A76" s="2" t="str">
        <f aca="false">IFERROR(__xludf.dummyfunction("""COMPUTED_VALUE"""),"SMSF/TRL/0368")</f>
        <v>SMSF/TRL/0368</v>
      </c>
      <c r="B76" s="2" t="str">
        <f aca="false">IFERROR(__xludf.dummyfunction("""COMPUTED_VALUE"""),"GEETHA")</f>
        <v>GEETHA</v>
      </c>
      <c r="C76" s="2" t="str">
        <f aca="false">IFERROR(__xludf.dummyfunction("""COMPUTED_VALUE"""),"Kitchen")</f>
        <v>Kitchen</v>
      </c>
      <c r="D76" s="2" t="str">
        <f aca="false">IFERROR(__xludf.dummyfunction("""COMPUTED_VALUE"""),"Tiruvallur")</f>
        <v>Tiruvallur</v>
      </c>
      <c r="E76" s="16" t="n">
        <f aca="false">IFERROR(__xludf.dummyfunction("""COMPUTED_VALUE"""),41821)</f>
        <v>41821</v>
      </c>
      <c r="F76" s="9" t="n">
        <f aca="false">IFERROR(__xludf.dummyfunction("""COMPUTED_VALUE"""),8800)</f>
        <v>8800</v>
      </c>
      <c r="G76" s="2" t="n">
        <f aca="false">IFERROR(__xludf.dummyfunction("""COMPUTED_VALUE"""),30)</f>
        <v>30</v>
      </c>
      <c r="H76" s="2" t="n">
        <f aca="false">IFERROR(__xludf.dummyfunction("""COMPUTED_VALUE"""),30)</f>
        <v>30</v>
      </c>
      <c r="I76" s="9" t="n">
        <f aca="false">IFERROR(__xludf.dummyfunction("""COMPUTED_VALUE"""),105600)</f>
        <v>105600</v>
      </c>
      <c r="J76" s="9" t="n">
        <f aca="false">IFERROR(__xludf.dummyfunction("""COMPUTED_VALUE"""),283)</f>
        <v>283</v>
      </c>
      <c r="K76" s="9"/>
      <c r="L76" s="9" t="n">
        <f aca="false">IFERROR(__xludf.dummyfunction("""COMPUTED_VALUE"""),0)</f>
        <v>0</v>
      </c>
      <c r="M76" s="9"/>
    </row>
    <row r="77" customFormat="false" ht="15.75" hidden="false" customHeight="false" outlineLevel="0" collapsed="false">
      <c r="A77" s="2" t="str">
        <f aca="false">IFERROR(__xludf.dummyfunction("""COMPUTED_VALUE"""),"SMSF/TRL/0526")</f>
        <v>SMSF/TRL/0526</v>
      </c>
      <c r="B77" s="2" t="str">
        <f aca="false">IFERROR(__xludf.dummyfunction("""COMPUTED_VALUE"""),"SELVA A. RAJ")</f>
        <v>SELVA A. RAJ</v>
      </c>
      <c r="C77" s="2" t="str">
        <f aca="false">IFERROR(__xludf.dummyfunction("""COMPUTED_VALUE"""),"Admin")</f>
        <v>Admin</v>
      </c>
      <c r="D77" s="2" t="str">
        <f aca="false">IFERROR(__xludf.dummyfunction("""COMPUTED_VALUE"""),"Tiruvallur")</f>
        <v>Tiruvallur</v>
      </c>
      <c r="E77" s="16" t="n">
        <f aca="false">IFERROR(__xludf.dummyfunction("""COMPUTED_VALUE"""),42083)</f>
        <v>42083</v>
      </c>
      <c r="F77" s="9" t="n">
        <f aca="false">IFERROR(__xludf.dummyfunction("""COMPUTED_VALUE"""),20350)</f>
        <v>20350</v>
      </c>
      <c r="G77" s="2" t="n">
        <f aca="false">IFERROR(__xludf.dummyfunction("""COMPUTED_VALUE"""),30)</f>
        <v>30</v>
      </c>
      <c r="H77" s="2" t="n">
        <f aca="false">IFERROR(__xludf.dummyfunction("""COMPUTED_VALUE"""),30)</f>
        <v>30</v>
      </c>
      <c r="I77" s="9" t="n">
        <f aca="false">IFERROR(__xludf.dummyfunction("""COMPUTED_VALUE"""),244200)</f>
        <v>244200</v>
      </c>
      <c r="J77" s="9" t="n">
        <f aca="false">IFERROR(__xludf.dummyfunction("""COMPUTED_VALUE"""),262)</f>
        <v>262</v>
      </c>
      <c r="K77" s="9"/>
      <c r="L77" s="9" t="n">
        <f aca="false">IFERROR(__xludf.dummyfunction("""COMPUTED_VALUE"""),0)</f>
        <v>0</v>
      </c>
      <c r="M77" s="9"/>
    </row>
    <row r="78" customFormat="false" ht="15.75" hidden="false" customHeight="false" outlineLevel="0" collapsed="false">
      <c r="A78" s="2" t="str">
        <f aca="false">IFERROR(__xludf.dummyfunction("""COMPUTED_VALUE"""),"SMSF/TRL/0389")</f>
        <v>SMSF/TRL/0389</v>
      </c>
      <c r="B78" s="2" t="str">
        <f aca="false">IFERROR(__xludf.dummyfunction("""COMPUTED_VALUE"""),"SELVARAJ")</f>
        <v>SELVARAJ</v>
      </c>
      <c r="C78" s="2" t="str">
        <f aca="false">IFERROR(__xludf.dummyfunction("""COMPUTED_VALUE"""),"Plumbing")</f>
        <v>Plumbing</v>
      </c>
      <c r="D78" s="2" t="str">
        <f aca="false">IFERROR(__xludf.dummyfunction("""COMPUTED_VALUE"""),"Tiruvallur")</f>
        <v>Tiruvallur</v>
      </c>
      <c r="E78" s="16" t="n">
        <f aca="false">IFERROR(__xludf.dummyfunction("""COMPUTED_VALUE"""),42014)</f>
        <v>42014</v>
      </c>
      <c r="F78" s="9" t="n">
        <f aca="false">IFERROR(__xludf.dummyfunction("""COMPUTED_VALUE"""),14850)</f>
        <v>14850</v>
      </c>
      <c r="G78" s="2" t="n">
        <f aca="false">IFERROR(__xludf.dummyfunction("""COMPUTED_VALUE"""),30)</f>
        <v>30</v>
      </c>
      <c r="H78" s="2" t="n">
        <f aca="false">IFERROR(__xludf.dummyfunction("""COMPUTED_VALUE"""),30)</f>
        <v>30</v>
      </c>
      <c r="I78" s="9" t="n">
        <f aca="false">IFERROR(__xludf.dummyfunction("""COMPUTED_VALUE"""),178200)</f>
        <v>178200</v>
      </c>
      <c r="J78" s="9" t="n">
        <f aca="false">IFERROR(__xludf.dummyfunction("""COMPUTED_VALUE"""),277)</f>
        <v>277</v>
      </c>
      <c r="K78" s="9"/>
      <c r="L78" s="9" t="n">
        <f aca="false">IFERROR(__xludf.dummyfunction("""COMPUTED_VALUE"""),0)</f>
        <v>0</v>
      </c>
      <c r="M78" s="9"/>
    </row>
    <row r="79" customFormat="false" ht="15.75" hidden="false" customHeight="false" outlineLevel="0" collapsed="false">
      <c r="A79" s="2" t="str">
        <f aca="false">IFERROR(__xludf.dummyfunction("""COMPUTED_VALUE"""),"SMSF/BMA/0483")</f>
        <v>SMSF/BMA/0483</v>
      </c>
      <c r="B79" s="2" t="str">
        <f aca="false">IFERROR(__xludf.dummyfunction("""COMPUTED_VALUE"""),"JAGAN KUMAR G")</f>
        <v>JAGAN KUMAR G</v>
      </c>
      <c r="C79" s="2" t="str">
        <f aca="false">IFERROR(__xludf.dummyfunction("""COMPUTED_VALUE"""),"CIVIL")</f>
        <v>CIVIL</v>
      </c>
      <c r="D79" s="2" t="str">
        <f aca="false">IFERROR(__xludf.dummyfunction("""COMPUTED_VALUE"""),"BMA")</f>
        <v>BMA</v>
      </c>
      <c r="E79" s="16" t="n">
        <f aca="false">IFERROR(__xludf.dummyfunction("""COMPUTED_VALUE"""),42306)</f>
        <v>42306</v>
      </c>
      <c r="F79" s="9" t="n">
        <f aca="false">IFERROR(__xludf.dummyfunction("""COMPUTED_VALUE"""),37625)</f>
        <v>37625</v>
      </c>
      <c r="G79" s="2" t="n">
        <f aca="false">IFERROR(__xludf.dummyfunction("""COMPUTED_VALUE"""),30)</f>
        <v>30</v>
      </c>
      <c r="H79" s="2" t="n">
        <f aca="false">IFERROR(__xludf.dummyfunction("""COMPUTED_VALUE"""),30)</f>
        <v>30</v>
      </c>
      <c r="I79" s="9" t="n">
        <f aca="false">IFERROR(__xludf.dummyfunction("""COMPUTED_VALUE"""),451500)</f>
        <v>451500</v>
      </c>
      <c r="J79" s="9" t="n">
        <f aca="false">IFERROR(__xludf.dummyfunction("""COMPUTED_VALUE"""),253)</f>
        <v>253</v>
      </c>
      <c r="K79" s="9"/>
      <c r="L79" s="9" t="n">
        <f aca="false">IFERROR(__xludf.dummyfunction("""COMPUTED_VALUE"""),0)</f>
        <v>0</v>
      </c>
      <c r="M79" s="9"/>
    </row>
    <row r="80" customFormat="false" ht="15.75" hidden="false" customHeight="false" outlineLevel="0" collapsed="false">
      <c r="A80" s="2" t="str">
        <f aca="false">IFERROR(__xludf.dummyfunction("""COMPUTED_VALUE"""),"SMSF/TRL/0365")</f>
        <v>SMSF/TRL/0365</v>
      </c>
      <c r="B80" s="2" t="str">
        <f aca="false">IFERROR(__xludf.dummyfunction("""COMPUTED_VALUE"""),"MUNUSAMY")</f>
        <v>MUNUSAMY</v>
      </c>
      <c r="C80" s="2" t="str">
        <f aca="false">IFERROR(__xludf.dummyfunction("""COMPUTED_VALUE"""),"Garden")</f>
        <v>Garden</v>
      </c>
      <c r="D80" s="2" t="str">
        <f aca="false">IFERROR(__xludf.dummyfunction("""COMPUTED_VALUE"""),"Tiruvallur")</f>
        <v>Tiruvallur</v>
      </c>
      <c r="E80" s="16" t="n">
        <f aca="false">IFERROR(__xludf.dummyfunction("""COMPUTED_VALUE"""),42278)</f>
        <v>42278</v>
      </c>
      <c r="F80" s="9" t="n">
        <f aca="false">IFERROR(__xludf.dummyfunction("""COMPUTED_VALUE"""),12650)</f>
        <v>12650</v>
      </c>
      <c r="G80" s="2" t="n">
        <f aca="false">IFERROR(__xludf.dummyfunction("""COMPUTED_VALUE"""),30)</f>
        <v>30</v>
      </c>
      <c r="H80" s="2" t="n">
        <f aca="false">IFERROR(__xludf.dummyfunction("""COMPUTED_VALUE"""),30)</f>
        <v>30</v>
      </c>
      <c r="I80" s="9" t="n">
        <f aca="false">IFERROR(__xludf.dummyfunction("""COMPUTED_VALUE"""),151800)</f>
        <v>151800</v>
      </c>
      <c r="J80" s="9" t="n">
        <f aca="false">IFERROR(__xludf.dummyfunction("""COMPUTED_VALUE"""),231)</f>
        <v>231</v>
      </c>
      <c r="K80" s="9"/>
      <c r="L80" s="9" t="n">
        <f aca="false">IFERROR(__xludf.dummyfunction("""COMPUTED_VALUE"""),0)</f>
        <v>0</v>
      </c>
      <c r="M80" s="9"/>
    </row>
    <row r="81" customFormat="false" ht="15.75" hidden="false" customHeight="false" outlineLevel="0" collapsed="false">
      <c r="A81" s="2" t="str">
        <f aca="false">IFERROR(__xludf.dummyfunction("""COMPUTED_VALUE"""),"SMSF/TRL/0367")</f>
        <v>SMSF/TRL/0367</v>
      </c>
      <c r="B81" s="2" t="str">
        <f aca="false">IFERROR(__xludf.dummyfunction("""COMPUTED_VALUE"""),"AANDAL")</f>
        <v>AANDAL</v>
      </c>
      <c r="C81" s="2" t="str">
        <f aca="false">IFERROR(__xludf.dummyfunction("""COMPUTED_VALUE"""),"Garden")</f>
        <v>Garden</v>
      </c>
      <c r="D81" s="2" t="str">
        <f aca="false">IFERROR(__xludf.dummyfunction("""COMPUTED_VALUE"""),"Tiruvallur")</f>
        <v>Tiruvallur</v>
      </c>
      <c r="E81" s="16" t="n">
        <f aca="false">IFERROR(__xludf.dummyfunction("""COMPUTED_VALUE"""),42226)</f>
        <v>42226</v>
      </c>
      <c r="F81" s="9" t="n">
        <f aca="false">IFERROR(__xludf.dummyfunction("""COMPUTED_VALUE"""),8250)</f>
        <v>8250</v>
      </c>
      <c r="G81" s="2" t="n">
        <f aca="false">IFERROR(__xludf.dummyfunction("""COMPUTED_VALUE"""),30)</f>
        <v>30</v>
      </c>
      <c r="H81" s="2" t="n">
        <f aca="false">IFERROR(__xludf.dummyfunction("""COMPUTED_VALUE"""),30)</f>
        <v>30</v>
      </c>
      <c r="I81" s="9" t="n">
        <f aca="false">IFERROR(__xludf.dummyfunction("""COMPUTED_VALUE"""),99000)</f>
        <v>99000</v>
      </c>
      <c r="J81" s="9" t="n">
        <f aca="false">IFERROR(__xludf.dummyfunction("""COMPUTED_VALUE"""),409)</f>
        <v>409</v>
      </c>
      <c r="K81" s="9"/>
      <c r="L81" s="9" t="n">
        <f aca="false">IFERROR(__xludf.dummyfunction("""COMPUTED_VALUE"""),0)</f>
        <v>0</v>
      </c>
      <c r="M81" s="9"/>
    </row>
    <row r="82" customFormat="false" ht="15.75" hidden="false" customHeight="false" outlineLevel="0" collapsed="false">
      <c r="A82" s="2" t="str">
        <f aca="false">IFERROR(__xludf.dummyfunction("""COMPUTED_VALUE"""),"SMSF/TRL/0387")</f>
        <v>SMSF/TRL/0387</v>
      </c>
      <c r="B82" s="2" t="str">
        <f aca="false">IFERROR(__xludf.dummyfunction("""COMPUTED_VALUE"""),"LAKSHMI P")</f>
        <v>LAKSHMI P</v>
      </c>
      <c r="C82" s="2" t="str">
        <f aca="false">IFERROR(__xludf.dummyfunction("""COMPUTED_VALUE"""),"Kitchen")</f>
        <v>Kitchen</v>
      </c>
      <c r="D82" s="2" t="str">
        <f aca="false">IFERROR(__xludf.dummyfunction("""COMPUTED_VALUE"""),"Tiruvallur")</f>
        <v>Tiruvallur</v>
      </c>
      <c r="E82" s="16" t="n">
        <f aca="false">IFERROR(__xludf.dummyfunction("""COMPUTED_VALUE"""),42124)</f>
        <v>42124</v>
      </c>
      <c r="F82" s="9" t="n">
        <f aca="false">IFERROR(__xludf.dummyfunction("""COMPUTED_VALUE"""),8800)</f>
        <v>8800</v>
      </c>
      <c r="G82" s="2" t="n">
        <f aca="false">IFERROR(__xludf.dummyfunction("""COMPUTED_VALUE"""),30)</f>
        <v>30</v>
      </c>
      <c r="H82" s="2" t="n">
        <f aca="false">IFERROR(__xludf.dummyfunction("""COMPUTED_VALUE"""),30)</f>
        <v>30</v>
      </c>
      <c r="I82" s="9" t="n">
        <f aca="false">IFERROR(__xludf.dummyfunction("""COMPUTED_VALUE"""),105600)</f>
        <v>105600</v>
      </c>
      <c r="J82" s="9" t="n">
        <f aca="false">IFERROR(__xludf.dummyfunction("""COMPUTED_VALUE"""),206)</f>
        <v>206</v>
      </c>
      <c r="K82" s="9"/>
      <c r="L82" s="9" t="n">
        <f aca="false">IFERROR(__xludf.dummyfunction("""COMPUTED_VALUE"""),0)</f>
        <v>0</v>
      </c>
      <c r="M82" s="9"/>
    </row>
    <row r="83" customFormat="false" ht="15.75" hidden="false" customHeight="false" outlineLevel="0" collapsed="false">
      <c r="A83" s="2" t="str">
        <f aca="false">IFERROR(__xludf.dummyfunction("""COMPUTED_VALUE"""),"SMSF/TRL/0404")</f>
        <v>SMSF/TRL/0404</v>
      </c>
      <c r="B83" s="2" t="str">
        <f aca="false">IFERROR(__xludf.dummyfunction("""COMPUTED_VALUE"""),"JEEVA")</f>
        <v>JEEVA</v>
      </c>
      <c r="C83" s="2" t="str">
        <f aca="false">IFERROR(__xludf.dummyfunction("""COMPUTED_VALUE"""),"House Keeping")</f>
        <v>House Keeping</v>
      </c>
      <c r="D83" s="2" t="str">
        <f aca="false">IFERROR(__xludf.dummyfunction("""COMPUTED_VALUE"""),"Tiruvallur")</f>
        <v>Tiruvallur</v>
      </c>
      <c r="E83" s="16" t="n">
        <f aca="false">IFERROR(__xludf.dummyfunction("""COMPUTED_VALUE"""),42507)</f>
        <v>42507</v>
      </c>
      <c r="F83" s="9" t="n">
        <f aca="false">IFERROR(__xludf.dummyfunction("""COMPUTED_VALUE"""),8250)</f>
        <v>8250</v>
      </c>
      <c r="G83" s="2" t="n">
        <f aca="false">IFERROR(__xludf.dummyfunction("""COMPUTED_VALUE"""),30)</f>
        <v>30</v>
      </c>
      <c r="H83" s="2" t="n">
        <f aca="false">IFERROR(__xludf.dummyfunction("""COMPUTED_VALUE"""),30)</f>
        <v>30</v>
      </c>
      <c r="I83" s="9" t="n">
        <f aca="false">IFERROR(__xludf.dummyfunction("""COMPUTED_VALUE"""),99000)</f>
        <v>99000</v>
      </c>
      <c r="J83" s="9" t="n">
        <f aca="false">IFERROR(__xludf.dummyfunction("""COMPUTED_VALUE"""),588)</f>
        <v>588</v>
      </c>
      <c r="K83" s="9"/>
      <c r="L83" s="9" t="n">
        <f aca="false">IFERROR(__xludf.dummyfunction("""COMPUTED_VALUE"""),0)</f>
        <v>0</v>
      </c>
      <c r="M83" s="9"/>
    </row>
    <row r="84" customFormat="false" ht="15.75" hidden="false" customHeight="false" outlineLevel="0" collapsed="false">
      <c r="A84" s="2" t="str">
        <f aca="false">IFERROR(__xludf.dummyfunction("""COMPUTED_VALUE"""),"SMSF/KOAA/0555")</f>
        <v>SMSF/KOAA/0555</v>
      </c>
      <c r="B84" s="2" t="str">
        <f aca="false">IFERROR(__xludf.dummyfunction("""COMPUTED_VALUE"""),"KING SHUK")</f>
        <v>KING SHUK</v>
      </c>
      <c r="C84" s="2" t="str">
        <f aca="false">IFERROR(__xludf.dummyfunction("""COMPUTED_VALUE"""),"HFN")</f>
        <v>HFN</v>
      </c>
      <c r="D84" s="2" t="str">
        <f aca="false">IFERROR(__xludf.dummyfunction("""COMPUTED_VALUE"""),"Kolkatta")</f>
        <v>Kolkatta</v>
      </c>
      <c r="E84" s="16" t="n">
        <f aca="false">IFERROR(__xludf.dummyfunction("""COMPUTED_VALUE"""),42583)</f>
        <v>42583</v>
      </c>
      <c r="F84" s="9" t="n">
        <f aca="false">IFERROR(__xludf.dummyfunction("""COMPUTED_VALUE"""),28875)</f>
        <v>28875</v>
      </c>
      <c r="G84" s="2" t="n">
        <f aca="false">IFERROR(__xludf.dummyfunction("""COMPUTED_VALUE"""),30)</f>
        <v>30</v>
      </c>
      <c r="H84" s="2" t="n">
        <f aca="false">IFERROR(__xludf.dummyfunction("""COMPUTED_VALUE"""),30)</f>
        <v>30</v>
      </c>
      <c r="I84" s="9" t="n">
        <f aca="false">IFERROR(__xludf.dummyfunction("""COMPUTED_VALUE"""),346500)</f>
        <v>346500</v>
      </c>
      <c r="J84" s="9" t="n">
        <f aca="false">IFERROR(__xludf.dummyfunction("""COMPUTED_VALUE"""),583)</f>
        <v>583</v>
      </c>
      <c r="K84" s="9"/>
      <c r="L84" s="9" t="n">
        <f aca="false">IFERROR(__xludf.dummyfunction("""COMPUTED_VALUE"""),0)</f>
        <v>0</v>
      </c>
      <c r="M84" s="9"/>
    </row>
    <row r="85" customFormat="false" ht="15.75" hidden="false" customHeight="false" outlineLevel="0" collapsed="false">
      <c r="A85" s="2" t="str">
        <f aca="false">IFERROR(__xludf.dummyfunction("""COMPUTED_VALUE"""),"SMSF/TRL/0523")</f>
        <v>SMSF/TRL/0523</v>
      </c>
      <c r="B85" s="2" t="str">
        <f aca="false">IFERROR(__xludf.dummyfunction("""COMPUTED_VALUE"""),"Netaji")</f>
        <v>Netaji</v>
      </c>
      <c r="C85" s="2" t="str">
        <f aca="false">IFERROR(__xludf.dummyfunction("""COMPUTED_VALUE"""),"Garden")</f>
        <v>Garden</v>
      </c>
      <c r="D85" s="2" t="str">
        <f aca="false">IFERROR(__xludf.dummyfunction("""COMPUTED_VALUE"""),"Tiruvallur")</f>
        <v>Tiruvallur</v>
      </c>
      <c r="E85" s="16" t="n">
        <f aca="false">IFERROR(__xludf.dummyfunction("""COMPUTED_VALUE"""),42795)</f>
        <v>42795</v>
      </c>
      <c r="F85" s="9" t="n">
        <f aca="false">IFERROR(__xludf.dummyfunction("""COMPUTED_VALUE"""),12100)</f>
        <v>12100</v>
      </c>
      <c r="G85" s="2" t="n">
        <f aca="false">IFERROR(__xludf.dummyfunction("""COMPUTED_VALUE"""),30)</f>
        <v>30</v>
      </c>
      <c r="H85" s="2" t="n">
        <f aca="false">IFERROR(__xludf.dummyfunction("""COMPUTED_VALUE"""),30)</f>
        <v>30</v>
      </c>
      <c r="I85" s="9" t="n">
        <f aca="false">IFERROR(__xludf.dummyfunction("""COMPUTED_VALUE"""),145200)</f>
        <v>145200</v>
      </c>
      <c r="J85" s="9" t="n">
        <f aca="false">IFERROR(__xludf.dummyfunction("""COMPUTED_VALUE"""),329)</f>
        <v>329</v>
      </c>
      <c r="K85" s="9"/>
      <c r="L85" s="9" t="n">
        <f aca="false">IFERROR(__xludf.dummyfunction("""COMPUTED_VALUE"""),0)</f>
        <v>0</v>
      </c>
      <c r="M85" s="9"/>
    </row>
    <row r="86" customFormat="false" ht="15.75" hidden="false" customHeight="false" outlineLevel="0" collapsed="false">
      <c r="A86" s="2" t="str">
        <f aca="false">IFERROR(__xludf.dummyfunction("""COMPUTED_VALUE"""),"SMSF/BMA/0001")</f>
        <v>SMSF/BMA/0001</v>
      </c>
      <c r="B86" s="2" t="str">
        <f aca="false">IFERROR(__xludf.dummyfunction("""COMPUTED_VALUE"""),"R.Abinaya")</f>
        <v>R.Abinaya</v>
      </c>
      <c r="C86" s="2" t="str">
        <f aca="false">IFERROR(__xludf.dummyfunction("""COMPUTED_VALUE"""),"FMC")</f>
        <v>FMC</v>
      </c>
      <c r="D86" s="2" t="str">
        <f aca="false">IFERROR(__xludf.dummyfunction("""COMPUTED_VALUE"""),"BMA")</f>
        <v>BMA</v>
      </c>
      <c r="E86" s="16" t="n">
        <f aca="false">IFERROR(__xludf.dummyfunction("""COMPUTED_VALUE"""),41259)</f>
        <v>41259</v>
      </c>
      <c r="F86" s="9" t="n">
        <f aca="false">IFERROR(__xludf.dummyfunction("""COMPUTED_VALUE"""),11550)</f>
        <v>11550</v>
      </c>
      <c r="G86" s="2" t="n">
        <f aca="false">IFERROR(__xludf.dummyfunction("""COMPUTED_VALUE"""),30)</f>
        <v>30</v>
      </c>
      <c r="H86" s="2" t="n">
        <f aca="false">IFERROR(__xludf.dummyfunction("""COMPUTED_VALUE"""),30)</f>
        <v>30</v>
      </c>
      <c r="I86" s="9" t="n">
        <f aca="false">IFERROR(__xludf.dummyfunction("""COMPUTED_VALUE"""),138600)</f>
        <v>138600</v>
      </c>
      <c r="J86" s="9" t="n">
        <f aca="false">IFERROR(__xludf.dummyfunction("""COMPUTED_VALUE"""),0)</f>
        <v>0</v>
      </c>
      <c r="K86" s="9"/>
      <c r="L86" s="9" t="n">
        <f aca="false">IFERROR(__xludf.dummyfunction("""COMPUTED_VALUE"""),0)</f>
        <v>0</v>
      </c>
      <c r="M86" s="9"/>
    </row>
    <row r="87" customFormat="false" ht="15.75" hidden="false" customHeight="false" outlineLevel="0" collapsed="false">
      <c r="A87" s="2" t="str">
        <f aca="false">IFERROR(__xludf.dummyfunction("""COMPUTED_VALUE"""),"SMSF/TRL/0407")</f>
        <v>SMSF/TRL/0407</v>
      </c>
      <c r="B87" s="2" t="str">
        <f aca="false">IFERROR(__xludf.dummyfunction("""COMPUTED_VALUE"""),"PRABHA")</f>
        <v>PRABHA</v>
      </c>
      <c r="C87" s="2" t="str">
        <f aca="false">IFERROR(__xludf.dummyfunction("""COMPUTED_VALUE"""),"FMC")</f>
        <v>FMC</v>
      </c>
      <c r="D87" s="2" t="str">
        <f aca="false">IFERROR(__xludf.dummyfunction("""COMPUTED_VALUE"""),"Tiruvallur")</f>
        <v>Tiruvallur</v>
      </c>
      <c r="E87" s="16" t="n">
        <f aca="false">IFERROR(__xludf.dummyfunction("""COMPUTED_VALUE"""),42384)</f>
        <v>42384</v>
      </c>
      <c r="F87" s="9" t="n">
        <f aca="false">IFERROR(__xludf.dummyfunction("""COMPUTED_VALUE"""),12100)</f>
        <v>12100</v>
      </c>
      <c r="G87" s="2" t="n">
        <f aca="false">IFERROR(__xludf.dummyfunction("""COMPUTED_VALUE"""),30)</f>
        <v>30</v>
      </c>
      <c r="H87" s="2" t="n">
        <f aca="false">IFERROR(__xludf.dummyfunction("""COMPUTED_VALUE"""),30)</f>
        <v>30</v>
      </c>
      <c r="I87" s="9" t="n">
        <f aca="false">IFERROR(__xludf.dummyfunction("""COMPUTED_VALUE"""),145200)</f>
        <v>145200</v>
      </c>
      <c r="J87" s="9" t="n">
        <f aca="false">IFERROR(__xludf.dummyfunction("""COMPUTED_VALUE"""),297)</f>
        <v>297</v>
      </c>
      <c r="K87" s="9"/>
      <c r="L87" s="9" t="n">
        <f aca="false">IFERROR(__xludf.dummyfunction("""COMPUTED_VALUE"""),0)</f>
        <v>0</v>
      </c>
      <c r="M87" s="9"/>
    </row>
    <row r="88" customFormat="false" ht="15.75" hidden="false" customHeight="false" outlineLevel="0" collapsed="false">
      <c r="A88" s="2" t="str">
        <f aca="false">IFERROR(__xludf.dummyfunction("""COMPUTED_VALUE"""),"SMSF/BMA/0495")</f>
        <v>SMSF/BMA/0495</v>
      </c>
      <c r="B88" s="2" t="str">
        <f aca="false">IFERROR(__xludf.dummyfunction("""COMPUTED_VALUE"""),"Sathya J")</f>
        <v>Sathya J</v>
      </c>
      <c r="C88" s="2" t="str">
        <f aca="false">IFERROR(__xludf.dummyfunction("""COMPUTED_VALUE"""),"FMC")</f>
        <v>FMC</v>
      </c>
      <c r="D88" s="2" t="str">
        <f aca="false">IFERROR(__xludf.dummyfunction("""COMPUTED_VALUE"""),"BMA")</f>
        <v>BMA</v>
      </c>
      <c r="E88" s="16" t="n">
        <f aca="false">IFERROR(__xludf.dummyfunction("""COMPUTED_VALUE"""),42705)</f>
        <v>42705</v>
      </c>
      <c r="F88" s="9" t="n">
        <f aca="false">IFERROR(__xludf.dummyfunction("""COMPUTED_VALUE"""),6600)</f>
        <v>6600</v>
      </c>
      <c r="G88" s="2" t="n">
        <f aca="false">IFERROR(__xludf.dummyfunction("""COMPUTED_VALUE"""),30)</f>
        <v>30</v>
      </c>
      <c r="H88" s="2" t="n">
        <f aca="false">IFERROR(__xludf.dummyfunction("""COMPUTED_VALUE"""),30)</f>
        <v>30</v>
      </c>
      <c r="I88" s="9" t="n">
        <f aca="false">IFERROR(__xludf.dummyfunction("""COMPUTED_VALUE"""),79200)</f>
        <v>79200</v>
      </c>
      <c r="J88" s="9" t="n">
        <f aca="false">IFERROR(__xludf.dummyfunction("""COMPUTED_VALUE"""),63)</f>
        <v>63</v>
      </c>
      <c r="K88" s="9"/>
      <c r="L88" s="9" t="n">
        <f aca="false">IFERROR(__xludf.dummyfunction("""COMPUTED_VALUE"""),0)</f>
        <v>0</v>
      </c>
      <c r="M88" s="9"/>
    </row>
    <row r="89" customFormat="false" ht="15.75" hidden="false" customHeight="false" outlineLevel="0" collapsed="false">
      <c r="A89" s="2" t="str">
        <f aca="false">IFERROR(__xludf.dummyfunction("""COMPUTED_VALUE"""),"SMSF/BMA/0072")</f>
        <v>SMSF/BMA/0072</v>
      </c>
      <c r="B89" s="2" t="str">
        <f aca="false">IFERROR(__xludf.dummyfunction("""COMPUTED_VALUE"""),"D Rajeswari")</f>
        <v>D Rajeswari</v>
      </c>
      <c r="C89" s="2" t="str">
        <f aca="false">IFERROR(__xludf.dummyfunction("""COMPUTED_VALUE"""),"FMC")</f>
        <v>FMC</v>
      </c>
      <c r="D89" s="2" t="str">
        <f aca="false">IFERROR(__xludf.dummyfunction("""COMPUTED_VALUE"""),"BMA")</f>
        <v>BMA</v>
      </c>
      <c r="E89" s="16" t="n">
        <f aca="false">IFERROR(__xludf.dummyfunction("""COMPUTED_VALUE"""),42767)</f>
        <v>42767</v>
      </c>
      <c r="F89" s="9" t="n">
        <f aca="false">IFERROR(__xludf.dummyfunction("""COMPUTED_VALUE"""),10500)</f>
        <v>10500</v>
      </c>
      <c r="G89" s="2" t="n">
        <f aca="false">IFERROR(__xludf.dummyfunction("""COMPUTED_VALUE"""),30)</f>
        <v>30</v>
      </c>
      <c r="H89" s="2" t="n">
        <f aca="false">IFERROR(__xludf.dummyfunction("""COMPUTED_VALUE"""),30)</f>
        <v>30</v>
      </c>
      <c r="I89" s="9" t="n">
        <f aca="false">IFERROR(__xludf.dummyfunction("""COMPUTED_VALUE"""),126000)</f>
        <v>126000</v>
      </c>
      <c r="J89" s="9" t="n">
        <f aca="false">IFERROR(__xludf.dummyfunction("""COMPUTED_VALUE"""),335)</f>
        <v>335</v>
      </c>
      <c r="K89" s="9"/>
      <c r="L89" s="9" t="n">
        <f aca="false">IFERROR(__xludf.dummyfunction("""COMPUTED_VALUE"""),0)</f>
        <v>0</v>
      </c>
      <c r="M89" s="9"/>
    </row>
    <row r="90" customFormat="false" ht="15.75" hidden="false" customHeight="false" outlineLevel="0" collapsed="false">
      <c r="A90" s="2" t="str">
        <f aca="false">IFERROR(__xludf.dummyfunction("""COMPUTED_VALUE"""),"SMSF/BMA/0497")</f>
        <v>SMSF/BMA/0497</v>
      </c>
      <c r="B90" s="2" t="str">
        <f aca="false">IFERROR(__xludf.dummyfunction("""COMPUTED_VALUE"""),"Jamuna Rani")</f>
        <v>Jamuna Rani</v>
      </c>
      <c r="C90" s="2" t="str">
        <f aca="false">IFERROR(__xludf.dummyfunction("""COMPUTED_VALUE"""),"FMC")</f>
        <v>FMC</v>
      </c>
      <c r="D90" s="2" t="str">
        <f aca="false">IFERROR(__xludf.dummyfunction("""COMPUTED_VALUE"""),"BMA")</f>
        <v>BMA</v>
      </c>
      <c r="E90" s="16" t="n">
        <f aca="false">IFERROR(__xludf.dummyfunction("""COMPUTED_VALUE"""),42842)</f>
        <v>42842</v>
      </c>
      <c r="F90" s="9" t="n">
        <f aca="false">IFERROR(__xludf.dummyfunction("""COMPUTED_VALUE"""),14520)</f>
        <v>14520</v>
      </c>
      <c r="G90" s="2" t="n">
        <f aca="false">IFERROR(__xludf.dummyfunction("""COMPUTED_VALUE"""),30)</f>
        <v>30</v>
      </c>
      <c r="H90" s="2" t="n">
        <f aca="false">IFERROR(__xludf.dummyfunction("""COMPUTED_VALUE"""),30)</f>
        <v>30</v>
      </c>
      <c r="I90" s="9" t="n">
        <f aca="false">IFERROR(__xludf.dummyfunction("""COMPUTED_VALUE"""),174240)</f>
        <v>174240</v>
      </c>
      <c r="J90" s="9" t="n">
        <f aca="false">IFERROR(__xludf.dummyfunction("""COMPUTED_VALUE"""),262)</f>
        <v>262</v>
      </c>
      <c r="K90" s="9"/>
      <c r="L90" s="9" t="n">
        <f aca="false">IFERROR(__xludf.dummyfunction("""COMPUTED_VALUE"""),0)</f>
        <v>0</v>
      </c>
      <c r="M90" s="9"/>
    </row>
    <row r="91" customFormat="false" ht="15.75" hidden="false" customHeight="false" outlineLevel="0" collapsed="false">
      <c r="A91" s="2" t="str">
        <f aca="false">IFERROR(__xludf.dummyfunction("""COMPUTED_VALUE"""),"SMSF/BMA/0022")</f>
        <v>SMSF/BMA/0022</v>
      </c>
      <c r="B91" s="2" t="str">
        <f aca="false">IFERROR(__xludf.dummyfunction("""COMPUTED_VALUE"""),"Dr.G.Jaya Prasanthi")</f>
        <v>Dr.G.Jaya Prasanthi</v>
      </c>
      <c r="C91" s="2" t="str">
        <f aca="false">IFERROR(__xludf.dummyfunction("""COMPUTED_VALUE"""),"FMC")</f>
        <v>FMC</v>
      </c>
      <c r="D91" s="2" t="str">
        <f aca="false">IFERROR(__xludf.dummyfunction("""COMPUTED_VALUE"""),"BMA")</f>
        <v>BMA</v>
      </c>
      <c r="E91" s="16" t="n">
        <f aca="false">IFERROR(__xludf.dummyfunction("""COMPUTED_VALUE"""),42417)</f>
        <v>42417</v>
      </c>
      <c r="F91" s="9" t="n">
        <f aca="false">IFERROR(__xludf.dummyfunction("""COMPUTED_VALUE"""),66950)</f>
        <v>66950</v>
      </c>
      <c r="G91" s="2" t="n">
        <f aca="false">IFERROR(__xludf.dummyfunction("""COMPUTED_VALUE"""),30)</f>
        <v>30</v>
      </c>
      <c r="H91" s="2" t="n">
        <f aca="false">IFERROR(__xludf.dummyfunction("""COMPUTED_VALUE"""),30)</f>
        <v>30</v>
      </c>
      <c r="I91" s="9" t="n">
        <f aca="false">IFERROR(__xludf.dummyfunction("""COMPUTED_VALUE"""),803400)</f>
        <v>803400</v>
      </c>
      <c r="J91" s="9" t="n">
        <f aca="false">IFERROR(__xludf.dummyfunction("""COMPUTED_VALUE"""),95)</f>
        <v>95</v>
      </c>
      <c r="K91" s="9"/>
      <c r="L91" s="9" t="n">
        <f aca="false">IFERROR(__xludf.dummyfunction("""COMPUTED_VALUE"""),0)</f>
        <v>0</v>
      </c>
      <c r="M91" s="9"/>
    </row>
    <row r="92" customFormat="false" ht="15.75" hidden="false" customHeight="false" outlineLevel="0" collapsed="false">
      <c r="A92" s="2" t="str">
        <f aca="false">IFERROR(__xludf.dummyfunction("""COMPUTED_VALUE"""),"SMSF/BMA/0500")</f>
        <v>SMSF/BMA/0500</v>
      </c>
      <c r="B92" s="2" t="str">
        <f aca="false">IFERROR(__xludf.dummyfunction("""COMPUTED_VALUE"""),"Gayathri Purnima Penumalla")</f>
        <v>Gayathri Purnima Penumalla</v>
      </c>
      <c r="C92" s="2" t="str">
        <f aca="false">IFERROR(__xludf.dummyfunction("""COMPUTED_VALUE"""),"FMC")</f>
        <v>FMC</v>
      </c>
      <c r="D92" s="2" t="str">
        <f aca="false">IFERROR(__xludf.dummyfunction("""COMPUTED_VALUE"""),"BMA")</f>
        <v>BMA</v>
      </c>
      <c r="E92" s="16" t="n">
        <f aca="false">IFERROR(__xludf.dummyfunction("""COMPUTED_VALUE"""),42824)</f>
        <v>42824</v>
      </c>
      <c r="F92" s="9" t="n">
        <f aca="false">IFERROR(__xludf.dummyfunction("""COMPUTED_VALUE"""),66950)</f>
        <v>66950</v>
      </c>
      <c r="G92" s="2" t="n">
        <f aca="false">IFERROR(__xludf.dummyfunction("""COMPUTED_VALUE"""),30)</f>
        <v>30</v>
      </c>
      <c r="H92" s="2" t="n">
        <f aca="false">IFERROR(__xludf.dummyfunction("""COMPUTED_VALUE"""),30)</f>
        <v>30</v>
      </c>
      <c r="I92" s="9" t="n">
        <f aca="false">IFERROR(__xludf.dummyfunction("""COMPUTED_VALUE"""),803400)</f>
        <v>803400</v>
      </c>
      <c r="J92" s="9" t="n">
        <f aca="false">IFERROR(__xludf.dummyfunction("""COMPUTED_VALUE"""),253)</f>
        <v>253</v>
      </c>
      <c r="K92" s="9"/>
      <c r="L92" s="9" t="n">
        <f aca="false">IFERROR(__xludf.dummyfunction("""COMPUTED_VALUE"""),0)</f>
        <v>0</v>
      </c>
      <c r="M92" s="9"/>
    </row>
    <row r="93" customFormat="false" ht="15.75" hidden="false" customHeight="false" outlineLevel="0" collapsed="false">
      <c r="A93" s="2" t="str">
        <f aca="false">IFERROR(__xludf.dummyfunction("""COMPUTED_VALUE"""),"SMSF/TRL/0408")</f>
        <v>SMSF/TRL/0408</v>
      </c>
      <c r="B93" s="2" t="str">
        <f aca="false">IFERROR(__xludf.dummyfunction("""COMPUTED_VALUE"""),"JAYARANI")</f>
        <v>JAYARANI</v>
      </c>
      <c r="C93" s="2" t="str">
        <f aca="false">IFERROR(__xludf.dummyfunction("""COMPUTED_VALUE"""),"Admin")</f>
        <v>Admin</v>
      </c>
      <c r="D93" s="2" t="str">
        <f aca="false">IFERROR(__xludf.dummyfunction("""COMPUTED_VALUE"""),"Tiruvallur")</f>
        <v>Tiruvallur</v>
      </c>
      <c r="E93" s="16" t="n">
        <f aca="false">IFERROR(__xludf.dummyfunction("""COMPUTED_VALUE"""),42384)</f>
        <v>42384</v>
      </c>
      <c r="F93" s="9" t="n">
        <f aca="false">IFERROR(__xludf.dummyfunction("""COMPUTED_VALUE"""),9350)</f>
        <v>9350</v>
      </c>
      <c r="G93" s="2" t="n">
        <f aca="false">IFERROR(__xludf.dummyfunction("""COMPUTED_VALUE"""),30)</f>
        <v>30</v>
      </c>
      <c r="H93" s="2" t="n">
        <f aca="false">IFERROR(__xludf.dummyfunction("""COMPUTED_VALUE"""),30)</f>
        <v>30</v>
      </c>
      <c r="I93" s="9" t="n">
        <f aca="false">IFERROR(__xludf.dummyfunction("""COMPUTED_VALUE"""),112200)</f>
        <v>112200</v>
      </c>
      <c r="J93" s="9" t="n">
        <f aca="false">IFERROR(__xludf.dummyfunction("""COMPUTED_VALUE"""),0)</f>
        <v>0</v>
      </c>
      <c r="K93" s="9"/>
      <c r="L93" s="9" t="n">
        <f aca="false">IFERROR(__xludf.dummyfunction("""COMPUTED_VALUE"""),0)</f>
        <v>0</v>
      </c>
      <c r="M93" s="9"/>
    </row>
    <row r="94" customFormat="false" ht="15.75" hidden="false" customHeight="false" outlineLevel="0" collapsed="false">
      <c r="A94" s="2" t="str">
        <f aca="false">IFERROR(__xludf.dummyfunction("""COMPUTED_VALUE"""),"SMSF/TRL/0403")</f>
        <v>SMSF/TRL/0403</v>
      </c>
      <c r="B94" s="2" t="str">
        <f aca="false">IFERROR(__xludf.dummyfunction("""COMPUTED_VALUE"""),"G. NAGAMMAL")</f>
        <v>G. NAGAMMAL</v>
      </c>
      <c r="C94" s="2" t="str">
        <f aca="false">IFERROR(__xludf.dummyfunction("""COMPUTED_VALUE"""),"FMC")</f>
        <v>FMC</v>
      </c>
      <c r="D94" s="2" t="str">
        <f aca="false">IFERROR(__xludf.dummyfunction("""COMPUTED_VALUE"""),"Tiruvallur")</f>
        <v>Tiruvallur</v>
      </c>
      <c r="E94" s="16" t="n">
        <f aca="false">IFERROR(__xludf.dummyfunction("""COMPUTED_VALUE"""),42384)</f>
        <v>42384</v>
      </c>
      <c r="F94" s="9" t="n">
        <f aca="false">IFERROR(__xludf.dummyfunction("""COMPUTED_VALUE"""),8250)</f>
        <v>8250</v>
      </c>
      <c r="G94" s="2" t="n">
        <f aca="false">IFERROR(__xludf.dummyfunction("""COMPUTED_VALUE"""),30)</f>
        <v>30</v>
      </c>
      <c r="H94" s="2" t="n">
        <f aca="false">IFERROR(__xludf.dummyfunction("""COMPUTED_VALUE"""),30)</f>
        <v>30</v>
      </c>
      <c r="I94" s="9" t="n">
        <f aca="false">IFERROR(__xludf.dummyfunction("""COMPUTED_VALUE"""),99000)</f>
        <v>99000</v>
      </c>
      <c r="J94" s="9" t="n">
        <f aca="false">IFERROR(__xludf.dummyfunction("""COMPUTED_VALUE"""),543)</f>
        <v>543</v>
      </c>
      <c r="K94" s="9"/>
      <c r="L94" s="9" t="n">
        <f aca="false">IFERROR(__xludf.dummyfunction("""COMPUTED_VALUE"""),0)</f>
        <v>0</v>
      </c>
      <c r="M94" s="9"/>
    </row>
    <row r="95" customFormat="false" ht="15.75" hidden="false" customHeight="false" outlineLevel="0" collapsed="false">
      <c r="A95" s="2" t="str">
        <f aca="false">IFERROR(__xludf.dummyfunction("""COMPUTED_VALUE"""),"SMSF/BMA/0521")</f>
        <v>SMSF/BMA/0521</v>
      </c>
      <c r="B95" s="2" t="str">
        <f aca="false">IFERROR(__xludf.dummyfunction("""COMPUTED_VALUE"""),"GEETA A")</f>
        <v>GEETA A</v>
      </c>
      <c r="C95" s="2" t="str">
        <f aca="false">IFERROR(__xludf.dummyfunction("""COMPUTED_VALUE"""),"Information Center")</f>
        <v>Information Center</v>
      </c>
      <c r="D95" s="2" t="str">
        <f aca="false">IFERROR(__xludf.dummyfunction("""COMPUTED_VALUE"""),"BMA")</f>
        <v>BMA</v>
      </c>
      <c r="E95" s="16" t="n">
        <f aca="false">IFERROR(__xludf.dummyfunction("""COMPUTED_VALUE"""),42629)</f>
        <v>42629</v>
      </c>
      <c r="F95" s="9" t="n">
        <f aca="false">IFERROR(__xludf.dummyfunction("""COMPUTED_VALUE"""),11000)</f>
        <v>11000</v>
      </c>
      <c r="G95" s="2" t="n">
        <f aca="false">IFERROR(__xludf.dummyfunction("""COMPUTED_VALUE"""),30)</f>
        <v>30</v>
      </c>
      <c r="H95" s="2" t="n">
        <f aca="false">IFERROR(__xludf.dummyfunction("""COMPUTED_VALUE"""),30)</f>
        <v>30</v>
      </c>
      <c r="I95" s="9" t="n">
        <f aca="false">IFERROR(__xludf.dummyfunction("""COMPUTED_VALUE"""),132000)</f>
        <v>132000</v>
      </c>
      <c r="J95" s="9" t="n">
        <f aca="false">IFERROR(__xludf.dummyfunction("""COMPUTED_VALUE"""),292)</f>
        <v>292</v>
      </c>
      <c r="K95" s="9"/>
      <c r="L95" s="9" t="n">
        <f aca="false">IFERROR(__xludf.dummyfunction("""COMPUTED_VALUE"""),0)</f>
        <v>0</v>
      </c>
      <c r="M95" s="9"/>
    </row>
    <row r="96" customFormat="false" ht="15.75" hidden="false" customHeight="false" outlineLevel="0" collapsed="false">
      <c r="A96" s="2" t="str">
        <f aca="false">IFERROR(__xludf.dummyfunction("""COMPUTED_VALUE"""),"SMSF/BMA/0648")</f>
        <v>SMSF/BMA/0648</v>
      </c>
      <c r="B96" s="2" t="str">
        <f aca="false">IFERROR(__xludf.dummyfunction("""COMPUTED_VALUE"""),"V.Sreenivasan")</f>
        <v>V.Sreenivasan</v>
      </c>
      <c r="C96" s="2" t="str">
        <f aca="false">IFERROR(__xludf.dummyfunction("""COMPUTED_VALUE"""),"HFN")</f>
        <v>HFN</v>
      </c>
      <c r="D96" s="2" t="str">
        <f aca="false">IFERROR(__xludf.dummyfunction("""COMPUTED_VALUE"""),"Delhi")</f>
        <v>Delhi</v>
      </c>
      <c r="E96" s="16" t="n">
        <f aca="false">IFERROR(__xludf.dummyfunction("""COMPUTED_VALUE"""),42309)</f>
        <v>42309</v>
      </c>
      <c r="F96" s="9" t="n">
        <f aca="false">IFERROR(__xludf.dummyfunction("""COMPUTED_VALUE"""),159650)</f>
        <v>159650</v>
      </c>
      <c r="G96" s="2" t="n">
        <f aca="false">IFERROR(__xludf.dummyfunction("""COMPUTED_VALUE"""),30)</f>
        <v>30</v>
      </c>
      <c r="H96" s="2" t="n">
        <f aca="false">IFERROR(__xludf.dummyfunction("""COMPUTED_VALUE"""),30)</f>
        <v>30</v>
      </c>
      <c r="I96" s="9" t="n">
        <f aca="false">IFERROR(__xludf.dummyfunction("""COMPUTED_VALUE"""),1915800)</f>
        <v>1915800</v>
      </c>
      <c r="J96" s="9" t="n">
        <f aca="false">IFERROR(__xludf.dummyfunction("""COMPUTED_VALUE"""),0)</f>
        <v>0</v>
      </c>
      <c r="K96" s="9"/>
      <c r="L96" s="9" t="n">
        <f aca="false">IFERROR(__xludf.dummyfunction("""COMPUTED_VALUE"""),0)</f>
        <v>0</v>
      </c>
      <c r="M96" s="9"/>
    </row>
    <row r="97" customFormat="false" ht="15.75" hidden="false" customHeight="false" outlineLevel="0" collapsed="false">
      <c r="A97" s="2" t="str">
        <f aca="false">IFERROR(__xludf.dummyfunction("""COMPUTED_VALUE"""),"SMSF/BMA/0487")</f>
        <v>SMSF/BMA/0487</v>
      </c>
      <c r="B97" s="2" t="str">
        <f aca="false">IFERROR(__xludf.dummyfunction("""COMPUTED_VALUE"""),"SARAVANAN V")</f>
        <v>SARAVANAN V</v>
      </c>
      <c r="C97" s="2" t="str">
        <f aca="false">IFERROR(__xludf.dummyfunction("""COMPUTED_VALUE"""),"Accounts")</f>
        <v>Accounts</v>
      </c>
      <c r="D97" s="2" t="str">
        <f aca="false">IFERROR(__xludf.dummyfunction("""COMPUTED_VALUE"""),"BMA")</f>
        <v>BMA</v>
      </c>
      <c r="E97" s="16" t="n">
        <f aca="false">IFERROR(__xludf.dummyfunction("""COMPUTED_VALUE"""),42887)</f>
        <v>42887</v>
      </c>
      <c r="F97" s="9" t="n">
        <f aca="false">IFERROR(__xludf.dummyfunction("""COMPUTED_VALUE"""),11000)</f>
        <v>11000</v>
      </c>
      <c r="G97" s="2" t="n">
        <f aca="false">IFERROR(__xludf.dummyfunction("""COMPUTED_VALUE"""),30)</f>
        <v>30</v>
      </c>
      <c r="H97" s="2" t="n">
        <f aca="false">IFERROR(__xludf.dummyfunction("""COMPUTED_VALUE"""),30)</f>
        <v>30</v>
      </c>
      <c r="I97" s="9" t="n">
        <f aca="false">IFERROR(__xludf.dummyfunction("""COMPUTED_VALUE"""),132000)</f>
        <v>132000</v>
      </c>
      <c r="J97" s="9" t="n">
        <f aca="false">IFERROR(__xludf.dummyfunction("""COMPUTED_VALUE"""),95)</f>
        <v>95</v>
      </c>
      <c r="K97" s="9"/>
      <c r="L97" s="9" t="n">
        <f aca="false">IFERROR(__xludf.dummyfunction("""COMPUTED_VALUE"""),0)</f>
        <v>0</v>
      </c>
      <c r="M97" s="9"/>
    </row>
    <row r="98" customFormat="false" ht="15.75" hidden="false" customHeight="false" outlineLevel="0" collapsed="false">
      <c r="A98" s="2" t="str">
        <f aca="false">IFERROR(__xludf.dummyfunction("""COMPUTED_VALUE"""),"SMSF/HSRA/0558")</f>
        <v>SMSF/HSRA/0558</v>
      </c>
      <c r="B98" s="2" t="str">
        <f aca="false">IFERROR(__xludf.dummyfunction("""COMPUTED_VALUE"""),"A. Prabhu")</f>
        <v>A. Prabhu</v>
      </c>
      <c r="C98" s="2" t="str">
        <f aca="false">IFERROR(__xludf.dummyfunction("""COMPUTED_VALUE"""),"HFN")</f>
        <v>HFN</v>
      </c>
      <c r="D98" s="2" t="str">
        <f aca="false">IFERROR(__xludf.dummyfunction("""COMPUTED_VALUE"""),"Tiruppur")</f>
        <v>Tiruppur</v>
      </c>
      <c r="E98" s="16" t="n">
        <f aca="false">IFERROR(__xludf.dummyfunction("""COMPUTED_VALUE"""),43070)</f>
        <v>43070</v>
      </c>
      <c r="F98" s="9" t="n">
        <f aca="false">IFERROR(__xludf.dummyfunction("""COMPUTED_VALUE"""),22000)</f>
        <v>22000</v>
      </c>
      <c r="G98" s="2" t="n">
        <f aca="false">IFERROR(__xludf.dummyfunction("""COMPUTED_VALUE"""),30)</f>
        <v>30</v>
      </c>
      <c r="H98" s="2" t="n">
        <f aca="false">IFERROR(__xludf.dummyfunction("""COMPUTED_VALUE"""),30)</f>
        <v>30</v>
      </c>
      <c r="I98" s="9" t="n">
        <f aca="false">IFERROR(__xludf.dummyfunction("""COMPUTED_VALUE"""),264000)</f>
        <v>264000</v>
      </c>
      <c r="J98" s="9" t="n">
        <f aca="false">IFERROR(__xludf.dummyfunction("""COMPUTED_VALUE"""),185)</f>
        <v>185</v>
      </c>
      <c r="K98" s="9"/>
      <c r="L98" s="9" t="n">
        <f aca="false">IFERROR(__xludf.dummyfunction("""COMPUTED_VALUE"""),0)</f>
        <v>0</v>
      </c>
      <c r="M98" s="9"/>
    </row>
    <row r="99" customFormat="false" ht="15.75" hidden="false" customHeight="false" outlineLevel="0" collapsed="false">
      <c r="A99" s="2" t="str">
        <f aca="false">IFERROR(__xludf.dummyfunction("""COMPUTED_VALUE"""),"SMSF/PGT/0668")</f>
        <v>SMSF/PGT/0668</v>
      </c>
      <c r="B99" s="2" t="str">
        <f aca="false">IFERROR(__xludf.dummyfunction("""COMPUTED_VALUE"""),"VIJAYAKUMAR S")</f>
        <v>VIJAYAKUMAR S</v>
      </c>
      <c r="C99" s="2" t="str">
        <f aca="false">IFERROR(__xludf.dummyfunction("""COMPUTED_VALUE"""),"Garden")</f>
        <v>Garden</v>
      </c>
      <c r="D99" s="2" t="str">
        <f aca="false">IFERROR(__xludf.dummyfunction("""COMPUTED_VALUE"""),"Malampuzha")</f>
        <v>Malampuzha</v>
      </c>
      <c r="E99" s="16" t="n">
        <f aca="false">IFERROR(__xludf.dummyfunction("""COMPUTED_VALUE"""),43185)</f>
        <v>43185</v>
      </c>
      <c r="F99" s="9" t="n">
        <f aca="false">IFERROR(__xludf.dummyfunction("""COMPUTED_VALUE"""),9900)</f>
        <v>9900</v>
      </c>
      <c r="G99" s="2" t="n">
        <f aca="false">IFERROR(__xludf.dummyfunction("""COMPUTED_VALUE"""),30)</f>
        <v>30</v>
      </c>
      <c r="H99" s="2" t="n">
        <f aca="false">IFERROR(__xludf.dummyfunction("""COMPUTED_VALUE"""),30)</f>
        <v>30</v>
      </c>
      <c r="I99" s="9" t="n">
        <f aca="false">IFERROR(__xludf.dummyfunction("""COMPUTED_VALUE"""),118800)</f>
        <v>118800</v>
      </c>
      <c r="J99" s="9" t="n">
        <f aca="false">IFERROR(__xludf.dummyfunction("""COMPUTED_VALUE"""),84)</f>
        <v>84</v>
      </c>
      <c r="K99" s="9"/>
      <c r="L99" s="9" t="n">
        <f aca="false">IFERROR(__xludf.dummyfunction("""COMPUTED_VALUE"""),0)</f>
        <v>0</v>
      </c>
      <c r="M99" s="9"/>
    </row>
    <row r="100" customFormat="false" ht="15.75" hidden="false" customHeight="false" outlineLevel="0" collapsed="false">
      <c r="A100" s="2" t="str">
        <f aca="false">IFERROR(__xludf.dummyfunction("""COMPUTED_VALUE"""),"SMSF/BMA/0727")</f>
        <v>SMSF/BMA/0727</v>
      </c>
      <c r="B100" s="2" t="str">
        <f aca="false">IFERROR(__xludf.dummyfunction("""COMPUTED_VALUE"""),"ANNAM CHAKRAVARTY")</f>
        <v>ANNAM CHAKRAVARTY</v>
      </c>
      <c r="C100" s="2" t="str">
        <f aca="false">IFERROR(__xludf.dummyfunction("""COMPUTED_VALUE"""),"Digital Marketing")</f>
        <v>Digital Marketing</v>
      </c>
      <c r="D100" s="2" t="str">
        <f aca="false">IFERROR(__xludf.dummyfunction("""COMPUTED_VALUE"""),"Kanha")</f>
        <v>Kanha</v>
      </c>
      <c r="E100" s="16" t="n">
        <f aca="false">IFERROR(__xludf.dummyfunction("""COMPUTED_VALUE"""),43222)</f>
        <v>43222</v>
      </c>
      <c r="F100" s="9" t="n">
        <f aca="false">IFERROR(__xludf.dummyfunction("""COMPUTED_VALUE"""),30000)</f>
        <v>30000</v>
      </c>
      <c r="G100" s="2" t="n">
        <f aca="false">IFERROR(__xludf.dummyfunction("""COMPUTED_VALUE"""),30)</f>
        <v>30</v>
      </c>
      <c r="H100" s="2" t="n">
        <f aca="false">IFERROR(__xludf.dummyfunction("""COMPUTED_VALUE"""),30)</f>
        <v>30</v>
      </c>
      <c r="I100" s="9" t="n">
        <f aca="false">IFERROR(__xludf.dummyfunction("""COMPUTED_VALUE"""),360000)</f>
        <v>360000</v>
      </c>
      <c r="J100" s="9" t="n">
        <f aca="false">IFERROR(__xludf.dummyfunction("""COMPUTED_VALUE"""),95)</f>
        <v>95</v>
      </c>
      <c r="K100" s="9"/>
      <c r="L100" s="9" t="n">
        <f aca="false">IFERROR(__xludf.dummyfunction("""COMPUTED_VALUE"""),0)</f>
        <v>0</v>
      </c>
      <c r="M100" s="9"/>
    </row>
    <row r="101" customFormat="false" ht="15.75" hidden="false" customHeight="false" outlineLevel="0" collapsed="false">
      <c r="A101" s="2" t="str">
        <f aca="false">IFERROR(__xludf.dummyfunction("""COMPUTED_VALUE"""),"SMSF/TRL/0729")</f>
        <v>SMSF/TRL/0729</v>
      </c>
      <c r="B101" s="2" t="str">
        <f aca="false">IFERROR(__xludf.dummyfunction("""COMPUTED_VALUE"""),"V.ASHOK KUMAR")</f>
        <v>V.ASHOK KUMAR</v>
      </c>
      <c r="C101" s="2" t="str">
        <f aca="false">IFERROR(__xludf.dummyfunction("""COMPUTED_VALUE"""),"Garden")</f>
        <v>Garden</v>
      </c>
      <c r="D101" s="2" t="str">
        <f aca="false">IFERROR(__xludf.dummyfunction("""COMPUTED_VALUE"""),"Tiruvallur")</f>
        <v>Tiruvallur</v>
      </c>
      <c r="E101" s="16" t="n">
        <f aca="false">IFERROR(__xludf.dummyfunction("""COMPUTED_VALUE"""),43252)</f>
        <v>43252</v>
      </c>
      <c r="F101" s="9" t="n">
        <f aca="false">IFERROR(__xludf.dummyfunction("""COMPUTED_VALUE"""),11000)</f>
        <v>11000</v>
      </c>
      <c r="G101" s="2" t="n">
        <f aca="false">IFERROR(__xludf.dummyfunction("""COMPUTED_VALUE"""),30)</f>
        <v>30</v>
      </c>
      <c r="H101" s="2" t="n">
        <f aca="false">IFERROR(__xludf.dummyfunction("""COMPUTED_VALUE"""),30)</f>
        <v>30</v>
      </c>
      <c r="I101" s="9" t="n">
        <f aca="false">IFERROR(__xludf.dummyfunction("""COMPUTED_VALUE"""),132000)</f>
        <v>132000</v>
      </c>
      <c r="J101" s="9" t="n">
        <f aca="false">IFERROR(__xludf.dummyfunction("""COMPUTED_VALUE"""),46)</f>
        <v>46</v>
      </c>
      <c r="K101" s="9"/>
      <c r="L101" s="9" t="n">
        <f aca="false">IFERROR(__xludf.dummyfunction("""COMPUTED_VALUE"""),0)</f>
        <v>0</v>
      </c>
      <c r="M101" s="9"/>
    </row>
    <row r="102" customFormat="false" ht="15.75" hidden="false" customHeight="false" outlineLevel="0" collapsed="false">
      <c r="A102" s="2" t="str">
        <f aca="false">IFERROR(__xludf.dummyfunction("""COMPUTED_VALUE"""),"SMSF/BMA/0763")</f>
        <v>SMSF/BMA/0763</v>
      </c>
      <c r="B102" s="2" t="str">
        <f aca="false">IFERROR(__xludf.dummyfunction("""COMPUTED_VALUE"""),"BHUVANESWARI N")</f>
        <v>BHUVANESWARI N</v>
      </c>
      <c r="C102" s="2" t="str">
        <f aca="false">IFERROR(__xludf.dummyfunction("""COMPUTED_VALUE"""),"Information Center")</f>
        <v>Information Center</v>
      </c>
      <c r="D102" s="2" t="str">
        <f aca="false">IFERROR(__xludf.dummyfunction("""COMPUTED_VALUE"""),"Kanha")</f>
        <v>Kanha</v>
      </c>
      <c r="E102" s="16" t="n">
        <f aca="false">IFERROR(__xludf.dummyfunction("""COMPUTED_VALUE"""),43283)</f>
        <v>43283</v>
      </c>
      <c r="F102" s="9" t="n">
        <f aca="false">IFERROR(__xludf.dummyfunction("""COMPUTED_VALUE"""),12075)</f>
        <v>12075</v>
      </c>
      <c r="G102" s="2" t="n">
        <f aca="false">IFERROR(__xludf.dummyfunction("""COMPUTED_VALUE"""),30)</f>
        <v>30</v>
      </c>
      <c r="H102" s="2" t="n">
        <f aca="false">IFERROR(__xludf.dummyfunction("""COMPUTED_VALUE"""),30)</f>
        <v>30</v>
      </c>
      <c r="I102" s="9" t="n">
        <f aca="false">IFERROR(__xludf.dummyfunction("""COMPUTED_VALUE"""),144900)</f>
        <v>144900</v>
      </c>
      <c r="J102" s="9" t="n">
        <f aca="false">IFERROR(__xludf.dummyfunction("""COMPUTED_VALUE"""),307)</f>
        <v>307</v>
      </c>
      <c r="K102" s="9"/>
      <c r="L102" s="9" t="n">
        <f aca="false">IFERROR(__xludf.dummyfunction("""COMPUTED_VALUE"""),0)</f>
        <v>0</v>
      </c>
      <c r="M102" s="9"/>
    </row>
    <row r="103" customFormat="false" ht="15.75" hidden="false" customHeight="false" outlineLevel="0" collapsed="false">
      <c r="A103" s="2" t="str">
        <f aca="false">IFERROR(__xludf.dummyfunction("""COMPUTED_VALUE"""),"SMSF/TRL/1015")</f>
        <v>SMSF/TRL/1015</v>
      </c>
      <c r="B103" s="2" t="str">
        <f aca="false">IFERROR(__xludf.dummyfunction("""COMPUTED_VALUE"""),"Gajalakshmi")</f>
        <v>Gajalakshmi</v>
      </c>
      <c r="C103" s="2" t="str">
        <f aca="false">IFERROR(__xludf.dummyfunction("""COMPUTED_VALUE"""),"Admin")</f>
        <v>Admin</v>
      </c>
      <c r="D103" s="2" t="str">
        <f aca="false">IFERROR(__xludf.dummyfunction("""COMPUTED_VALUE"""),"Tiruvallur")</f>
        <v>Tiruvallur</v>
      </c>
      <c r="E103" s="16" t="n">
        <f aca="false">IFERROR(__xludf.dummyfunction("""COMPUTED_VALUE"""),43484)</f>
        <v>43484</v>
      </c>
      <c r="F103" s="9" t="n">
        <f aca="false">IFERROR(__xludf.dummyfunction("""COMPUTED_VALUE"""),8000)</f>
        <v>8000</v>
      </c>
      <c r="G103" s="2" t="n">
        <f aca="false">IFERROR(__xludf.dummyfunction("""COMPUTED_VALUE"""),30)</f>
        <v>30</v>
      </c>
      <c r="H103" s="2" t="n">
        <f aca="false">IFERROR(__xludf.dummyfunction("""COMPUTED_VALUE"""),30)</f>
        <v>30</v>
      </c>
      <c r="I103" s="9" t="n">
        <f aca="false">IFERROR(__xludf.dummyfunction("""COMPUTED_VALUE"""),96000)</f>
        <v>96000</v>
      </c>
      <c r="J103" s="9" t="n">
        <f aca="false">IFERROR(__xludf.dummyfunction("""COMPUTED_VALUE"""),70)</f>
        <v>70</v>
      </c>
      <c r="K103" s="9"/>
      <c r="L103" s="9" t="n">
        <f aca="false">IFERROR(__xludf.dummyfunction("""COMPUTED_VALUE"""),0)</f>
        <v>0</v>
      </c>
      <c r="M103" s="9"/>
    </row>
    <row r="104" customFormat="false" ht="15.75" hidden="false" customHeight="false" outlineLevel="0" collapsed="false">
      <c r="A104" s="2" t="str">
        <f aca="false">IFERROR(__xludf.dummyfunction("""COMPUTED_VALUE"""),"SMSF/TRL/1277")</f>
        <v>SMSF/TRL/1277</v>
      </c>
      <c r="B104" s="2" t="str">
        <f aca="false">IFERROR(__xludf.dummyfunction("""COMPUTED_VALUE"""),"K SURENDER BABU")</f>
        <v>K SURENDER BABU</v>
      </c>
      <c r="C104" s="2" t="str">
        <f aca="false">IFERROR(__xludf.dummyfunction("""COMPUTED_VALUE"""),"Agriculture")</f>
        <v>Agriculture</v>
      </c>
      <c r="D104" s="2" t="str">
        <f aca="false">IFERROR(__xludf.dummyfunction("""COMPUTED_VALUE"""),"Tiruvallur")</f>
        <v>Tiruvallur</v>
      </c>
      <c r="E104" s="16" t="n">
        <f aca="false">IFERROR(__xludf.dummyfunction("""COMPUTED_VALUE"""),43672)</f>
        <v>43672</v>
      </c>
      <c r="F104" s="9" t="n">
        <f aca="false">IFERROR(__xludf.dummyfunction("""COMPUTED_VALUE"""),10000)</f>
        <v>10000</v>
      </c>
      <c r="G104" s="2" t="n">
        <f aca="false">IFERROR(__xludf.dummyfunction("""COMPUTED_VALUE"""),30)</f>
        <v>30</v>
      </c>
      <c r="H104" s="2" t="n">
        <f aca="false">IFERROR(__xludf.dummyfunction("""COMPUTED_VALUE"""),30)</f>
        <v>30</v>
      </c>
      <c r="I104" s="9" t="n">
        <f aca="false">IFERROR(__xludf.dummyfunction("""COMPUTED_VALUE"""),120000)</f>
        <v>120000</v>
      </c>
      <c r="J104" s="9" t="n">
        <f aca="false">IFERROR(__xludf.dummyfunction("""COMPUTED_VALUE"""),46)</f>
        <v>46</v>
      </c>
      <c r="K104" s="9"/>
      <c r="L104" s="9" t="n">
        <f aca="false">IFERROR(__xludf.dummyfunction("""COMPUTED_VALUE"""),0)</f>
        <v>0</v>
      </c>
      <c r="M104" s="9"/>
    </row>
    <row r="105" customFormat="false" ht="15.75" hidden="false" customHeight="false" outlineLevel="0" collapsed="false">
      <c r="A105" s="2" t="str">
        <f aca="false">IFERROR(__xludf.dummyfunction("""COMPUTED_VALUE"""),"SMSF/BMA/1215")</f>
        <v>SMSF/BMA/1215</v>
      </c>
      <c r="B105" s="2" t="str">
        <f aca="false">IFERROR(__xludf.dummyfunction("""COMPUTED_VALUE"""),"SIVA BALAJI")</f>
        <v>SIVA BALAJI</v>
      </c>
      <c r="C105" s="2" t="str">
        <f aca="false">IFERROR(__xludf.dummyfunction("""COMPUTED_VALUE"""),"Information Center")</f>
        <v>Information Center</v>
      </c>
      <c r="D105" s="2" t="str">
        <f aca="false">IFERROR(__xludf.dummyfunction("""COMPUTED_VALUE"""),"BMA")</f>
        <v>BMA</v>
      </c>
      <c r="E105" s="16" t="n">
        <f aca="false">IFERROR(__xludf.dummyfunction("""COMPUTED_VALUE"""),43691)</f>
        <v>43691</v>
      </c>
      <c r="F105" s="9" t="n">
        <f aca="false">IFERROR(__xludf.dummyfunction("""COMPUTED_VALUE"""),25000)</f>
        <v>25000</v>
      </c>
      <c r="G105" s="2" t="n">
        <f aca="false">IFERROR(__xludf.dummyfunction("""COMPUTED_VALUE"""),30)</f>
        <v>30</v>
      </c>
      <c r="H105" s="2" t="n">
        <f aca="false">IFERROR(__xludf.dummyfunction("""COMPUTED_VALUE"""),30)</f>
        <v>30</v>
      </c>
      <c r="I105" s="9" t="n">
        <f aca="false">IFERROR(__xludf.dummyfunction("""COMPUTED_VALUE"""),300000)</f>
        <v>300000</v>
      </c>
      <c r="J105" s="9" t="n">
        <f aca="false">IFERROR(__xludf.dummyfunction("""COMPUTED_VALUE"""),604)</f>
        <v>604</v>
      </c>
      <c r="K105" s="9"/>
      <c r="L105" s="9" t="n">
        <f aca="false">IFERROR(__xludf.dummyfunction("""COMPUTED_VALUE"""),0)</f>
        <v>0</v>
      </c>
      <c r="M105" s="9"/>
    </row>
    <row r="106" customFormat="false" ht="15.75" hidden="false" customHeight="false" outlineLevel="0" collapsed="false">
      <c r="A106" s="2" t="str">
        <f aca="false">IFERROR(__xludf.dummyfunction("""COMPUTED_VALUE"""),"SMSF/TRL/1360")</f>
        <v>SMSF/TRL/1360</v>
      </c>
      <c r="B106" s="2" t="str">
        <f aca="false">IFERROR(__xludf.dummyfunction("""COMPUTED_VALUE"""),"Anusha")</f>
        <v>Anusha</v>
      </c>
      <c r="C106" s="2" t="str">
        <f aca="false">IFERROR(__xludf.dummyfunction("""COMPUTED_VALUE"""),"FMC")</f>
        <v>FMC</v>
      </c>
      <c r="D106" s="2" t="str">
        <f aca="false">IFERROR(__xludf.dummyfunction("""COMPUTED_VALUE"""),"Tiruvallur")</f>
        <v>Tiruvallur</v>
      </c>
      <c r="E106" s="16" t="n">
        <f aca="false">IFERROR(__xludf.dummyfunction("""COMPUTED_VALUE"""),43782)</f>
        <v>43782</v>
      </c>
      <c r="F106" s="9" t="n">
        <f aca="false">IFERROR(__xludf.dummyfunction("""COMPUTED_VALUE"""),50000)</f>
        <v>50000</v>
      </c>
      <c r="G106" s="2" t="n">
        <f aca="false">IFERROR(__xludf.dummyfunction("""COMPUTED_VALUE"""),30)</f>
        <v>30</v>
      </c>
      <c r="H106" s="2" t="n">
        <f aca="false">IFERROR(__xludf.dummyfunction("""COMPUTED_VALUE"""),30)</f>
        <v>30</v>
      </c>
      <c r="I106" s="9" t="n">
        <f aca="false">IFERROR(__xludf.dummyfunction("""COMPUTED_VALUE"""),600000)</f>
        <v>600000</v>
      </c>
      <c r="J106" s="9" t="n">
        <f aca="false">IFERROR(__xludf.dummyfunction("""COMPUTED_VALUE"""),185)</f>
        <v>185</v>
      </c>
      <c r="K106" s="9"/>
      <c r="L106" s="9" t="n">
        <f aca="false">IFERROR(__xludf.dummyfunction("""COMPUTED_VALUE"""),0)</f>
        <v>0</v>
      </c>
      <c r="M106" s="9"/>
    </row>
    <row r="107" customFormat="false" ht="15.75" hidden="false" customHeight="false" outlineLevel="0" collapsed="false">
      <c r="A107" s="2" t="str">
        <f aca="false">IFERROR(__xludf.dummyfunction("""COMPUTED_VALUE"""),"SMSF/BMA/1468")</f>
        <v>SMSF/BMA/1468</v>
      </c>
      <c r="B107" s="2" t="str">
        <f aca="false">IFERROR(__xludf.dummyfunction("""COMPUTED_VALUE"""),"Lokeshwari E")</f>
        <v>Lokeshwari E</v>
      </c>
      <c r="C107" s="2" t="str">
        <f aca="false">IFERROR(__xludf.dummyfunction("""COMPUTED_VALUE"""),"FMC")</f>
        <v>FMC</v>
      </c>
      <c r="D107" s="2" t="str">
        <f aca="false">IFERROR(__xludf.dummyfunction("""COMPUTED_VALUE"""),"BMA")</f>
        <v>BMA</v>
      </c>
      <c r="E107" s="16" t="n">
        <f aca="false">IFERROR(__xludf.dummyfunction("""COMPUTED_VALUE"""),43843)</f>
        <v>43843</v>
      </c>
      <c r="F107" s="9" t="n">
        <f aca="false">IFERROR(__xludf.dummyfunction("""COMPUTED_VALUE"""),6000)</f>
        <v>6000</v>
      </c>
      <c r="G107" s="2" t="n">
        <f aca="false">IFERROR(__xludf.dummyfunction("""COMPUTED_VALUE"""),30)</f>
        <v>30</v>
      </c>
      <c r="H107" s="2" t="n">
        <f aca="false">IFERROR(__xludf.dummyfunction("""COMPUTED_VALUE"""),30)</f>
        <v>30</v>
      </c>
      <c r="I107" s="9" t="n">
        <f aca="false">IFERROR(__xludf.dummyfunction("""COMPUTED_VALUE"""),72000)</f>
        <v>72000</v>
      </c>
      <c r="J107" s="9" t="n">
        <f aca="false">IFERROR(__xludf.dummyfunction("""COMPUTED_VALUE"""),63)</f>
        <v>63</v>
      </c>
      <c r="K107" s="9"/>
      <c r="L107" s="9" t="n">
        <f aca="false">IFERROR(__xludf.dummyfunction("""COMPUTED_VALUE"""),0)</f>
        <v>0</v>
      </c>
      <c r="M107" s="9"/>
    </row>
    <row r="108" customFormat="false" ht="15.75" hidden="false" customHeight="false" outlineLevel="0" collapsed="false">
      <c r="A108" s="2" t="str">
        <f aca="false">IFERROR(__xludf.dummyfunction("""COMPUTED_VALUE"""),"SMSF/BMA/1469")</f>
        <v>SMSF/BMA/1469</v>
      </c>
      <c r="B108" s="2" t="str">
        <f aca="false">IFERROR(__xludf.dummyfunction("""COMPUTED_VALUE"""),"Meenakshi")</f>
        <v>Meenakshi</v>
      </c>
      <c r="C108" s="2" t="str">
        <f aca="false">IFERROR(__xludf.dummyfunction("""COMPUTED_VALUE"""),"FMC")</f>
        <v>FMC</v>
      </c>
      <c r="D108" s="2" t="str">
        <f aca="false">IFERROR(__xludf.dummyfunction("""COMPUTED_VALUE"""),"BMA")</f>
        <v>BMA</v>
      </c>
      <c r="E108" s="16" t="n">
        <f aca="false">IFERROR(__xludf.dummyfunction("""COMPUTED_VALUE"""),43854)</f>
        <v>43854</v>
      </c>
      <c r="F108" s="9" t="n">
        <f aca="false">IFERROR(__xludf.dummyfunction("""COMPUTED_VALUE"""),8000)</f>
        <v>8000</v>
      </c>
      <c r="G108" s="2" t="n">
        <f aca="false">IFERROR(__xludf.dummyfunction("""COMPUTED_VALUE"""),30)</f>
        <v>30</v>
      </c>
      <c r="H108" s="2" t="n">
        <f aca="false">IFERROR(__xludf.dummyfunction("""COMPUTED_VALUE"""),30)</f>
        <v>30</v>
      </c>
      <c r="I108" s="9" t="n">
        <f aca="false">IFERROR(__xludf.dummyfunction("""COMPUTED_VALUE"""),96000)</f>
        <v>96000</v>
      </c>
      <c r="J108" s="9" t="n">
        <f aca="false">IFERROR(__xludf.dummyfunction("""COMPUTED_VALUE"""),190)</f>
        <v>190</v>
      </c>
      <c r="K108" s="9"/>
      <c r="L108" s="9" t="n">
        <f aca="false">IFERROR(__xludf.dummyfunction("""COMPUTED_VALUE"""),0)</f>
        <v>0</v>
      </c>
      <c r="M108" s="9"/>
    </row>
    <row r="109" customFormat="false" ht="15.75" hidden="false" customHeight="false" outlineLevel="0" collapsed="false">
      <c r="A109" s="2" t="str">
        <f aca="false">IFERROR(__xludf.dummyfunction("""COMPUTED_VALUE"""),"SRCM/BMA/1377")</f>
        <v>SRCM/BMA/1377</v>
      </c>
      <c r="B109" s="2" t="str">
        <f aca="false">IFERROR(__xludf.dummyfunction("""COMPUTED_VALUE"""),"Mamtha")</f>
        <v>Mamtha</v>
      </c>
      <c r="C109" s="2" t="str">
        <f aca="false">IFERROR(__xludf.dummyfunction("""COMPUTED_VALUE"""),"Information Center")</f>
        <v>Information Center</v>
      </c>
      <c r="D109" s="2" t="str">
        <f aca="false">IFERROR(__xludf.dummyfunction("""COMPUTED_VALUE"""),"BMA")</f>
        <v>BMA</v>
      </c>
      <c r="E109" s="16" t="n">
        <f aca="false">IFERROR(__xludf.dummyfunction("""COMPUTED_VALUE"""),43797)</f>
        <v>43797</v>
      </c>
      <c r="F109" s="9" t="n">
        <f aca="false">IFERROR(__xludf.dummyfunction("""COMPUTED_VALUE"""),10000)</f>
        <v>10000</v>
      </c>
      <c r="G109" s="2" t="n">
        <f aca="false">IFERROR(__xludf.dummyfunction("""COMPUTED_VALUE"""),30)</f>
        <v>30</v>
      </c>
      <c r="H109" s="2" t="n">
        <f aca="false">IFERROR(__xludf.dummyfunction("""COMPUTED_VALUE"""),30)</f>
        <v>30</v>
      </c>
      <c r="I109" s="9" t="n">
        <f aca="false">IFERROR(__xludf.dummyfunction("""COMPUTED_VALUE"""),120000)</f>
        <v>120000</v>
      </c>
      <c r="J109" s="9" t="n">
        <f aca="false">IFERROR(__xludf.dummyfunction("""COMPUTED_VALUE"""),61)</f>
        <v>61</v>
      </c>
      <c r="K109" s="9"/>
      <c r="L109" s="9" t="n">
        <f aca="false">IFERROR(__xludf.dummyfunction("""COMPUTED_VALUE"""),0)</f>
        <v>0</v>
      </c>
      <c r="M109" s="9"/>
    </row>
    <row r="110" customFormat="false" ht="15.75" hidden="false" customHeight="false" outlineLevel="0" collapsed="false">
      <c r="A110" s="2" t="str">
        <f aca="false">IFERROR(__xludf.dummyfunction("""COMPUTED_VALUE"""),"SMSF/BMA/0090")</f>
        <v>SMSF/BMA/0090</v>
      </c>
      <c r="B110" s="2" t="str">
        <f aca="false">IFERROR(__xludf.dummyfunction("""COMPUTED_VALUE"""),"S Jayasudha")</f>
        <v>S Jayasudha</v>
      </c>
      <c r="C110" s="2" t="str">
        <f aca="false">IFERROR(__xludf.dummyfunction("""COMPUTED_VALUE"""),"FMC")</f>
        <v>FMC</v>
      </c>
      <c r="D110" s="2" t="str">
        <f aca="false">IFERROR(__xludf.dummyfunction("""COMPUTED_VALUE"""),"BMA")</f>
        <v>BMA</v>
      </c>
      <c r="E110" s="16" t="n">
        <f aca="false">IFERROR(__xludf.dummyfunction("""COMPUTED_VALUE"""),42569)</f>
        <v>42569</v>
      </c>
      <c r="F110" s="9" t="n">
        <f aca="false">IFERROR(__xludf.dummyfunction("""COMPUTED_VALUE"""),8800)</f>
        <v>8800</v>
      </c>
      <c r="G110" s="2" t="n">
        <f aca="false">IFERROR(__xludf.dummyfunction("""COMPUTED_VALUE"""),30)</f>
        <v>30</v>
      </c>
      <c r="H110" s="2" t="n">
        <f aca="false">IFERROR(__xludf.dummyfunction("""COMPUTED_VALUE"""),30)</f>
        <v>30</v>
      </c>
      <c r="I110" s="9" t="n">
        <f aca="false">IFERROR(__xludf.dummyfunction("""COMPUTED_VALUE"""),129600)</f>
        <v>129600</v>
      </c>
      <c r="J110" s="9" t="n">
        <f aca="false">IFERROR(__xludf.dummyfunction("""COMPUTED_VALUE"""),63)</f>
        <v>63</v>
      </c>
      <c r="K110" s="9"/>
      <c r="L110" s="9" t="n">
        <f aca="false">IFERROR(__xludf.dummyfunction("""COMPUTED_VALUE"""),2000)</f>
        <v>2000</v>
      </c>
      <c r="M110" s="9"/>
    </row>
    <row r="111" customFormat="false" ht="15.75" hidden="false" customHeight="false" outlineLevel="0" collapsed="false">
      <c r="A111" s="2" t="str">
        <f aca="false">IFERROR(__xludf.dummyfunction("""COMPUTED_VALUE"""),"SMSF/TRL/0112")</f>
        <v>SMSF/TRL/0112</v>
      </c>
      <c r="B111" s="2" t="str">
        <f aca="false">IFERROR(__xludf.dummyfunction("""COMPUTED_VALUE"""),"G. RAJAVELPANDY")</f>
        <v>G. RAJAVELPANDY</v>
      </c>
      <c r="C111" s="2" t="str">
        <f aca="false">IFERROR(__xludf.dummyfunction("""COMPUTED_VALUE"""),"Kitchen")</f>
        <v>Kitchen</v>
      </c>
      <c r="D111" s="2" t="str">
        <f aca="false">IFERROR(__xludf.dummyfunction("""COMPUTED_VALUE"""),"Tiruvallur")</f>
        <v>Tiruvallur</v>
      </c>
      <c r="E111" s="16" t="n">
        <f aca="false">IFERROR(__xludf.dummyfunction("""COMPUTED_VALUE"""),41731)</f>
        <v>41731</v>
      </c>
      <c r="F111" s="9" t="n">
        <f aca="false">IFERROR(__xludf.dummyfunction("""COMPUTED_VALUE"""),13153)</f>
        <v>13153</v>
      </c>
      <c r="G111" s="2" t="n">
        <f aca="false">IFERROR(__xludf.dummyfunction("""COMPUTED_VALUE"""),30)</f>
        <v>30</v>
      </c>
      <c r="H111" s="2" t="n">
        <f aca="false">IFERROR(__xludf.dummyfunction("""COMPUTED_VALUE"""),30)</f>
        <v>30</v>
      </c>
      <c r="I111" s="9" t="n">
        <f aca="false">IFERROR(__xludf.dummyfunction("""COMPUTED_VALUE"""),157836)</f>
        <v>157836</v>
      </c>
      <c r="J111" s="9" t="n">
        <f aca="false">IFERROR(__xludf.dummyfunction("""COMPUTED_VALUE"""),271)</f>
        <v>271</v>
      </c>
      <c r="K111" s="9"/>
      <c r="L111" s="9" t="n">
        <f aca="false">IFERROR(__xludf.dummyfunction("""COMPUTED_VALUE"""),0)</f>
        <v>0</v>
      </c>
      <c r="M111" s="9"/>
    </row>
    <row r="112" customFormat="false" ht="15.75" hidden="false" customHeight="false" outlineLevel="0" collapsed="false">
      <c r="A112" s="2" t="str">
        <f aca="false">IFERROR(__xludf.dummyfunction("""COMPUTED_VALUE"""),"SMSF/TRL/0319")</f>
        <v>SMSF/TRL/0319</v>
      </c>
      <c r="B112" s="2" t="str">
        <f aca="false">IFERROR(__xludf.dummyfunction("""COMPUTED_VALUE"""),"E.R.VENKATACHALAM")</f>
        <v>E.R.VENKATACHALAM</v>
      </c>
      <c r="C112" s="2" t="str">
        <f aca="false">IFERROR(__xludf.dummyfunction("""COMPUTED_VALUE"""),"Garden")</f>
        <v>Garden</v>
      </c>
      <c r="D112" s="2" t="str">
        <f aca="false">IFERROR(__xludf.dummyfunction("""COMPUTED_VALUE"""),"Tiruvallur")</f>
        <v>Tiruvallur</v>
      </c>
      <c r="E112" s="16" t="n">
        <f aca="false">IFERROR(__xludf.dummyfunction("""COMPUTED_VALUE"""),38035)</f>
        <v>38035</v>
      </c>
      <c r="F112" s="9" t="n">
        <f aca="false">IFERROR(__xludf.dummyfunction("""COMPUTED_VALUE"""),8800)</f>
        <v>8800</v>
      </c>
      <c r="G112" s="2" t="n">
        <f aca="false">IFERROR(__xludf.dummyfunction("""COMPUTED_VALUE"""),30)</f>
        <v>30</v>
      </c>
      <c r="H112" s="2" t="n">
        <f aca="false">IFERROR(__xludf.dummyfunction("""COMPUTED_VALUE"""),30)</f>
        <v>30</v>
      </c>
      <c r="I112" s="9" t="n">
        <f aca="false">IFERROR(__xludf.dummyfunction("""COMPUTED_VALUE"""),105600)</f>
        <v>105600</v>
      </c>
      <c r="J112" s="9" t="n">
        <f aca="false">IFERROR(__xludf.dummyfunction("""COMPUTED_VALUE"""),311)</f>
        <v>311</v>
      </c>
      <c r="K112" s="9"/>
      <c r="L112" s="9" t="n">
        <f aca="false">IFERROR(__xludf.dummyfunction("""COMPUTED_VALUE"""),0)</f>
        <v>0</v>
      </c>
      <c r="M112" s="9"/>
    </row>
    <row r="113" customFormat="false" ht="15.75" hidden="false" customHeight="false" outlineLevel="0" collapsed="false">
      <c r="A113" s="2" t="str">
        <f aca="false">IFERROR(__xludf.dummyfunction("""COMPUTED_VALUE"""),"SMSF/TRL/0055")</f>
        <v>SMSF/TRL/0055</v>
      </c>
      <c r="B113" s="2" t="str">
        <f aca="false">IFERROR(__xludf.dummyfunction("""COMPUTED_VALUE"""),"V MURUGAN")</f>
        <v>V MURUGAN</v>
      </c>
      <c r="C113" s="2" t="str">
        <f aca="false">IFERROR(__xludf.dummyfunction("""COMPUTED_VALUE"""),"Garden")</f>
        <v>Garden</v>
      </c>
      <c r="D113" s="2" t="str">
        <f aca="false">IFERROR(__xludf.dummyfunction("""COMPUTED_VALUE"""),"Tiruvallur")</f>
        <v>Tiruvallur</v>
      </c>
      <c r="E113" s="16" t="n">
        <f aca="false">IFERROR(__xludf.dummyfunction("""COMPUTED_VALUE"""),38699)</f>
        <v>38699</v>
      </c>
      <c r="F113" s="9" t="n">
        <f aca="false">IFERROR(__xludf.dummyfunction("""COMPUTED_VALUE"""),8800)</f>
        <v>8800</v>
      </c>
      <c r="G113" s="2" t="n">
        <f aca="false">IFERROR(__xludf.dummyfunction("""COMPUTED_VALUE"""),30)</f>
        <v>30</v>
      </c>
      <c r="H113" s="2" t="n">
        <f aca="false">IFERROR(__xludf.dummyfunction("""COMPUTED_VALUE"""),30)</f>
        <v>30</v>
      </c>
      <c r="I113" s="9" t="n">
        <f aca="false">IFERROR(__xludf.dummyfunction("""COMPUTED_VALUE"""),105600)</f>
        <v>105600</v>
      </c>
      <c r="J113" s="9" t="n">
        <f aca="false">IFERROR(__xludf.dummyfunction("""COMPUTED_VALUE"""),321)</f>
        <v>321</v>
      </c>
      <c r="K113" s="9"/>
      <c r="L113" s="9" t="n">
        <f aca="false">IFERROR(__xludf.dummyfunction("""COMPUTED_VALUE"""),0)</f>
        <v>0</v>
      </c>
      <c r="M113" s="9"/>
    </row>
    <row r="114" customFormat="false" ht="15.75" hidden="false" customHeight="false" outlineLevel="0" collapsed="false">
      <c r="A114" s="2" t="str">
        <f aca="false">IFERROR(__xludf.dummyfunction("""COMPUTED_VALUE"""),"SMSF/KAN/0569")</f>
        <v>SMSF/KAN/0569</v>
      </c>
      <c r="B114" s="2" t="str">
        <f aca="false">IFERROR(__xludf.dummyfunction("""COMPUTED_VALUE"""),"Anand Gundepogu")</f>
        <v>Anand Gundepogu</v>
      </c>
      <c r="C114" s="2" t="str">
        <f aca="false">IFERROR(__xludf.dummyfunction("""COMPUTED_VALUE"""),"Plantation")</f>
        <v>Plantation</v>
      </c>
      <c r="D114" s="2" t="str">
        <f aca="false">IFERROR(__xludf.dummyfunction("""COMPUTED_VALUE"""),"Kanha")</f>
        <v>Kanha</v>
      </c>
      <c r="E114" s="16" t="n">
        <f aca="false">IFERROR(__xludf.dummyfunction("""COMPUTED_VALUE"""),42524)</f>
        <v>42524</v>
      </c>
      <c r="F114" s="9" t="n">
        <f aca="false">IFERROR(__xludf.dummyfunction("""COMPUTED_VALUE"""),11550)</f>
        <v>11550</v>
      </c>
      <c r="G114" s="2" t="n">
        <f aca="false">IFERROR(__xludf.dummyfunction("""COMPUTED_VALUE"""),30)</f>
        <v>30</v>
      </c>
      <c r="H114" s="2" t="n">
        <f aca="false">IFERROR(__xludf.dummyfunction("""COMPUTED_VALUE"""),30)</f>
        <v>30</v>
      </c>
      <c r="I114" s="9" t="n">
        <f aca="false">IFERROR(__xludf.dummyfunction("""COMPUTED_VALUE"""),138600)</f>
        <v>138600</v>
      </c>
      <c r="J114" s="9" t="n">
        <f aca="false">IFERROR(__xludf.dummyfunction("""COMPUTED_VALUE"""),333)</f>
        <v>333</v>
      </c>
      <c r="K114" s="9"/>
      <c r="L114" s="9" t="n">
        <f aca="false">IFERROR(__xludf.dummyfunction("""COMPUTED_VALUE"""),0)</f>
        <v>0</v>
      </c>
      <c r="M114" s="9"/>
    </row>
    <row r="115" customFormat="false" ht="15.75" hidden="false" customHeight="false" outlineLevel="0" collapsed="false">
      <c r="A115" s="2" t="str">
        <f aca="false">IFERROR(__xludf.dummyfunction("""COMPUTED_VALUE"""),"SMSF/KAN/0661")</f>
        <v>SMSF/KAN/0661</v>
      </c>
      <c r="B115" s="2" t="str">
        <f aca="false">IFERROR(__xludf.dummyfunction("""COMPUTED_VALUE"""),"GUNDPOGU SAROJAMMA")</f>
        <v>GUNDPOGU SAROJAMMA</v>
      </c>
      <c r="C115" s="2" t="str">
        <f aca="false">IFERROR(__xludf.dummyfunction("""COMPUTED_VALUE"""),"Plantation")</f>
        <v>Plantation</v>
      </c>
      <c r="D115" s="2" t="str">
        <f aca="false">IFERROR(__xludf.dummyfunction("""COMPUTED_VALUE"""),"Kanha")</f>
        <v>Kanha</v>
      </c>
      <c r="E115" s="16" t="n">
        <f aca="false">IFERROR(__xludf.dummyfunction("""COMPUTED_VALUE"""),42205)</f>
        <v>42205</v>
      </c>
      <c r="F115" s="9" t="n">
        <f aca="false">IFERROR(__xludf.dummyfunction("""COMPUTED_VALUE"""),8250)</f>
        <v>8250</v>
      </c>
      <c r="G115" s="2" t="n">
        <f aca="false">IFERROR(__xludf.dummyfunction("""COMPUTED_VALUE"""),30)</f>
        <v>30</v>
      </c>
      <c r="H115" s="2" t="n">
        <f aca="false">IFERROR(__xludf.dummyfunction("""COMPUTED_VALUE"""),30)</f>
        <v>30</v>
      </c>
      <c r="I115" s="9" t="n">
        <f aca="false">IFERROR(__xludf.dummyfunction("""COMPUTED_VALUE"""),99000)</f>
        <v>99000</v>
      </c>
      <c r="J115" s="9" t="n">
        <f aca="false">IFERROR(__xludf.dummyfunction("""COMPUTED_VALUE"""),865)</f>
        <v>865</v>
      </c>
      <c r="K115" s="9"/>
      <c r="L115" s="9" t="n">
        <f aca="false">IFERROR(__xludf.dummyfunction("""COMPUTED_VALUE"""),0)</f>
        <v>0</v>
      </c>
      <c r="M115" s="9"/>
    </row>
    <row r="116" customFormat="false" ht="15.75" hidden="false" customHeight="false" outlineLevel="0" collapsed="false">
      <c r="A116" s="2" t="str">
        <f aca="false">IFERROR(__xludf.dummyfunction("""COMPUTED_VALUE"""),"SMSF/KAN/0208")</f>
        <v>SMSF/KAN/0208</v>
      </c>
      <c r="B116" s="2" t="str">
        <f aca="false">IFERROR(__xludf.dummyfunction("""COMPUTED_VALUE"""),"KAMLESH KUMAR")</f>
        <v>KAMLESH KUMAR</v>
      </c>
      <c r="C116" s="2" t="str">
        <f aca="false">IFERROR(__xludf.dummyfunction("""COMPUTED_VALUE"""),"Plantation")</f>
        <v>Plantation</v>
      </c>
      <c r="D116" s="2" t="str">
        <f aca="false">IFERROR(__xludf.dummyfunction("""COMPUTED_VALUE"""),"Kanha")</f>
        <v>Kanha</v>
      </c>
      <c r="E116" s="16" t="n">
        <f aca="false">IFERROR(__xludf.dummyfunction("""COMPUTED_VALUE"""),42116)</f>
        <v>42116</v>
      </c>
      <c r="F116" s="9" t="n">
        <f aca="false">IFERROR(__xludf.dummyfunction("""COMPUTED_VALUE"""),16500)</f>
        <v>16500</v>
      </c>
      <c r="G116" s="2" t="n">
        <f aca="false">IFERROR(__xludf.dummyfunction("""COMPUTED_VALUE"""),30)</f>
        <v>30</v>
      </c>
      <c r="H116" s="2" t="n">
        <f aca="false">IFERROR(__xludf.dummyfunction("""COMPUTED_VALUE"""),30)</f>
        <v>30</v>
      </c>
      <c r="I116" s="9" t="n">
        <f aca="false">IFERROR(__xludf.dummyfunction("""COMPUTED_VALUE"""),198000)</f>
        <v>198000</v>
      </c>
      <c r="J116" s="9" t="n">
        <f aca="false">IFERROR(__xludf.dummyfunction("""COMPUTED_VALUE"""),277)</f>
        <v>277</v>
      </c>
      <c r="K116" s="9"/>
      <c r="L116" s="9" t="n">
        <f aca="false">IFERROR(__xludf.dummyfunction("""COMPUTED_VALUE"""),0)</f>
        <v>0</v>
      </c>
      <c r="M116" s="9"/>
    </row>
    <row r="117" customFormat="false" ht="15.75" hidden="false" customHeight="false" outlineLevel="0" collapsed="false">
      <c r="A117" s="2" t="str">
        <f aca="false">IFERROR(__xludf.dummyfunction("""COMPUTED_VALUE"""),"SMSF/KAN/0206")</f>
        <v>SMSF/KAN/0206</v>
      </c>
      <c r="B117" s="2" t="str">
        <f aca="false">IFERROR(__xludf.dummyfunction("""COMPUTED_VALUE"""),"RAMAAUTAR")</f>
        <v>RAMAAUTAR</v>
      </c>
      <c r="C117" s="2" t="str">
        <f aca="false">IFERROR(__xludf.dummyfunction("""COMPUTED_VALUE"""),"Plantation")</f>
        <v>Plantation</v>
      </c>
      <c r="D117" s="2" t="str">
        <f aca="false">IFERROR(__xludf.dummyfunction("""COMPUTED_VALUE"""),"Kanha")</f>
        <v>Kanha</v>
      </c>
      <c r="E117" s="16" t="n">
        <f aca="false">IFERROR(__xludf.dummyfunction("""COMPUTED_VALUE"""),42043)</f>
        <v>42043</v>
      </c>
      <c r="F117" s="9" t="n">
        <f aca="false">IFERROR(__xludf.dummyfunction("""COMPUTED_VALUE"""),11550)</f>
        <v>11550</v>
      </c>
      <c r="G117" s="2" t="n">
        <f aca="false">IFERROR(__xludf.dummyfunction("""COMPUTED_VALUE"""),30)</f>
        <v>30</v>
      </c>
      <c r="H117" s="2" t="n">
        <f aca="false">IFERROR(__xludf.dummyfunction("""COMPUTED_VALUE"""),30)</f>
        <v>30</v>
      </c>
      <c r="I117" s="9" t="n">
        <f aca="false">IFERROR(__xludf.dummyfunction("""COMPUTED_VALUE"""),138600)</f>
        <v>138600</v>
      </c>
      <c r="J117" s="9" t="n">
        <f aca="false">IFERROR(__xludf.dummyfunction("""COMPUTED_VALUE"""),277)</f>
        <v>277</v>
      </c>
      <c r="K117" s="9"/>
      <c r="L117" s="9" t="n">
        <f aca="false">IFERROR(__xludf.dummyfunction("""COMPUTED_VALUE"""),0)</f>
        <v>0</v>
      </c>
      <c r="M117" s="9"/>
    </row>
    <row r="118" customFormat="false" ht="15.75" hidden="false" customHeight="false" outlineLevel="0" collapsed="false">
      <c r="A118" s="2" t="str">
        <f aca="false">IFERROR(__xludf.dummyfunction("""COMPUTED_VALUE"""),"SMSF/KAN/0203")</f>
        <v>SMSF/KAN/0203</v>
      </c>
      <c r="B118" s="2" t="str">
        <f aca="false">IFERROR(__xludf.dummyfunction("""COMPUTED_VALUE"""),"JEVAN SINGH")</f>
        <v>JEVAN SINGH</v>
      </c>
      <c r="C118" s="2" t="str">
        <f aca="false">IFERROR(__xludf.dummyfunction("""COMPUTED_VALUE"""),"Plantation")</f>
        <v>Plantation</v>
      </c>
      <c r="D118" s="2" t="str">
        <f aca="false">IFERROR(__xludf.dummyfunction("""COMPUTED_VALUE"""),"Kanha")</f>
        <v>Kanha</v>
      </c>
      <c r="E118" s="16" t="n">
        <f aca="false">IFERROR(__xludf.dummyfunction("""COMPUTED_VALUE"""),42618)</f>
        <v>42618</v>
      </c>
      <c r="F118" s="9" t="n">
        <f aca="false">IFERROR(__xludf.dummyfunction("""COMPUTED_VALUE"""),11000)</f>
        <v>11000</v>
      </c>
      <c r="G118" s="2" t="n">
        <f aca="false">IFERROR(__xludf.dummyfunction("""COMPUTED_VALUE"""),30)</f>
        <v>30</v>
      </c>
      <c r="H118" s="2" t="n">
        <f aca="false">IFERROR(__xludf.dummyfunction("""COMPUTED_VALUE"""),30)</f>
        <v>30</v>
      </c>
      <c r="I118" s="9" t="n">
        <f aca="false">IFERROR(__xludf.dummyfunction("""COMPUTED_VALUE"""),132000)</f>
        <v>132000</v>
      </c>
      <c r="J118" s="9" t="n">
        <f aca="false">IFERROR(__xludf.dummyfunction("""COMPUTED_VALUE"""),388)</f>
        <v>388</v>
      </c>
      <c r="K118" s="9"/>
      <c r="L118" s="9" t="n">
        <f aca="false">IFERROR(__xludf.dummyfunction("""COMPUTED_VALUE"""),0)</f>
        <v>0</v>
      </c>
      <c r="M118" s="9"/>
    </row>
    <row r="119" customFormat="false" ht="15.75" hidden="false" customHeight="false" outlineLevel="0" collapsed="false">
      <c r="A119" s="2" t="str">
        <f aca="false">IFERROR(__xludf.dummyfunction("""COMPUTED_VALUE"""),"SMSF/KAN/0200")</f>
        <v>SMSF/KAN/0200</v>
      </c>
      <c r="B119" s="2" t="str">
        <f aca="false">IFERROR(__xludf.dummyfunction("""COMPUTED_VALUE"""),"SELVANATHAN S")</f>
        <v>SELVANATHAN S</v>
      </c>
      <c r="C119" s="2" t="str">
        <f aca="false">IFERROR(__xludf.dummyfunction("""COMPUTED_VALUE"""),"Plantation")</f>
        <v>Plantation</v>
      </c>
      <c r="D119" s="2" t="str">
        <f aca="false">IFERROR(__xludf.dummyfunction("""COMPUTED_VALUE"""),"Kanha")</f>
        <v>Kanha</v>
      </c>
      <c r="E119" s="16" t="n">
        <f aca="false">IFERROR(__xludf.dummyfunction("""COMPUTED_VALUE"""),42509)</f>
        <v>42509</v>
      </c>
      <c r="F119" s="9" t="n">
        <f aca="false">IFERROR(__xludf.dummyfunction("""COMPUTED_VALUE"""),16500)</f>
        <v>16500</v>
      </c>
      <c r="G119" s="2" t="n">
        <f aca="false">IFERROR(__xludf.dummyfunction("""COMPUTED_VALUE"""),30)</f>
        <v>30</v>
      </c>
      <c r="H119" s="2" t="n">
        <f aca="false">IFERROR(__xludf.dummyfunction("""COMPUTED_VALUE"""),30)</f>
        <v>30</v>
      </c>
      <c r="I119" s="9" t="n">
        <f aca="false">IFERROR(__xludf.dummyfunction("""COMPUTED_VALUE"""),198000)</f>
        <v>198000</v>
      </c>
      <c r="J119" s="9" t="n">
        <f aca="false">IFERROR(__xludf.dummyfunction("""COMPUTED_VALUE"""),167)</f>
        <v>167</v>
      </c>
      <c r="K119" s="9"/>
      <c r="L119" s="9" t="n">
        <f aca="false">IFERROR(__xludf.dummyfunction("""COMPUTED_VALUE"""),0)</f>
        <v>0</v>
      </c>
      <c r="M119" s="9"/>
    </row>
    <row r="120" customFormat="false" ht="15.75" hidden="false" customHeight="false" outlineLevel="0" collapsed="false">
      <c r="A120" s="2" t="str">
        <f aca="false">IFERROR(__xludf.dummyfunction("""COMPUTED_VALUE"""),"SMSF/KAN/0663")</f>
        <v>SMSF/KAN/0663</v>
      </c>
      <c r="B120" s="2" t="str">
        <f aca="false">IFERROR(__xludf.dummyfunction("""COMPUTED_VALUE"""),"GEETA DEVI")</f>
        <v>GEETA DEVI</v>
      </c>
      <c r="C120" s="2" t="str">
        <f aca="false">IFERROR(__xludf.dummyfunction("""COMPUTED_VALUE"""),"Plantation")</f>
        <v>Plantation</v>
      </c>
      <c r="D120" s="2" t="str">
        <f aca="false">IFERROR(__xludf.dummyfunction("""COMPUTED_VALUE"""),"Kanha")</f>
        <v>Kanha</v>
      </c>
      <c r="E120" s="16" t="n">
        <f aca="false">IFERROR(__xludf.dummyfunction("""COMPUTED_VALUE"""),42435)</f>
        <v>42435</v>
      </c>
      <c r="F120" s="9" t="n">
        <f aca="false">IFERROR(__xludf.dummyfunction("""COMPUTED_VALUE"""),6050)</f>
        <v>6050</v>
      </c>
      <c r="G120" s="2" t="n">
        <f aca="false">IFERROR(__xludf.dummyfunction("""COMPUTED_VALUE"""),30)</f>
        <v>30</v>
      </c>
      <c r="H120" s="2" t="n">
        <f aca="false">IFERROR(__xludf.dummyfunction("""COMPUTED_VALUE"""),30)</f>
        <v>30</v>
      </c>
      <c r="I120" s="9" t="n">
        <f aca="false">IFERROR(__xludf.dummyfunction("""COMPUTED_VALUE"""),72600)</f>
        <v>72600</v>
      </c>
      <c r="J120" s="9" t="n">
        <f aca="false">IFERROR(__xludf.dummyfunction("""COMPUTED_VALUE"""),0)</f>
        <v>0</v>
      </c>
      <c r="K120" s="9"/>
      <c r="L120" s="9" t="n">
        <f aca="false">IFERROR(__xludf.dummyfunction("""COMPUTED_VALUE"""),0)</f>
        <v>0</v>
      </c>
      <c r="M120" s="9"/>
    </row>
    <row r="121" customFormat="false" ht="15.75" hidden="false" customHeight="false" outlineLevel="0" collapsed="false">
      <c r="A121" s="2" t="str">
        <f aca="false">IFERROR(__xludf.dummyfunction("""COMPUTED_VALUE"""),"SMSF/KAN/0198")</f>
        <v>SMSF/KAN/0198</v>
      </c>
      <c r="B121" s="2" t="str">
        <f aca="false">IFERROR(__xludf.dummyfunction("""COMPUTED_VALUE"""),"BIRENDRA SINGH")</f>
        <v>BIRENDRA SINGH</v>
      </c>
      <c r="C121" s="2" t="str">
        <f aca="false">IFERROR(__xludf.dummyfunction("""COMPUTED_VALUE"""),"Plantation")</f>
        <v>Plantation</v>
      </c>
      <c r="D121" s="2" t="str">
        <f aca="false">IFERROR(__xludf.dummyfunction("""COMPUTED_VALUE"""),"Kanha")</f>
        <v>Kanha</v>
      </c>
      <c r="E121" s="16" t="n">
        <f aca="false">IFERROR(__xludf.dummyfunction("""COMPUTED_VALUE"""),42649)</f>
        <v>42649</v>
      </c>
      <c r="F121" s="9" t="n">
        <f aca="false">IFERROR(__xludf.dummyfunction("""COMPUTED_VALUE"""),11000)</f>
        <v>11000</v>
      </c>
      <c r="G121" s="2" t="n">
        <f aca="false">IFERROR(__xludf.dummyfunction("""COMPUTED_VALUE"""),30)</f>
        <v>30</v>
      </c>
      <c r="H121" s="2" t="n">
        <f aca="false">IFERROR(__xludf.dummyfunction("""COMPUTED_VALUE"""),30)</f>
        <v>30</v>
      </c>
      <c r="I121" s="9" t="n">
        <f aca="false">IFERROR(__xludf.dummyfunction("""COMPUTED_VALUE"""),132000)</f>
        <v>132000</v>
      </c>
      <c r="J121" s="9" t="n">
        <f aca="false">IFERROR(__xludf.dummyfunction("""COMPUTED_VALUE"""),277)</f>
        <v>277</v>
      </c>
      <c r="K121" s="9"/>
      <c r="L121" s="9" t="n">
        <f aca="false">IFERROR(__xludf.dummyfunction("""COMPUTED_VALUE"""),0)</f>
        <v>0</v>
      </c>
      <c r="M121" s="9"/>
    </row>
    <row r="122" customFormat="false" ht="15.75" hidden="false" customHeight="false" outlineLevel="0" collapsed="false">
      <c r="A122" s="2" t="str">
        <f aca="false">IFERROR(__xludf.dummyfunction("""COMPUTED_VALUE"""),"SMSF/KAN/0262")</f>
        <v>SMSF/KAN/0262</v>
      </c>
      <c r="B122" s="2" t="str">
        <f aca="false">IFERROR(__xludf.dummyfunction("""COMPUTED_VALUE"""),"JITENDAR SINGH")</f>
        <v>JITENDAR SINGH</v>
      </c>
      <c r="C122" s="2" t="str">
        <f aca="false">IFERROR(__xludf.dummyfunction("""COMPUTED_VALUE"""),"Plantation")</f>
        <v>Plantation</v>
      </c>
      <c r="D122" s="2" t="str">
        <f aca="false">IFERROR(__xludf.dummyfunction("""COMPUTED_VALUE"""),"Kanha")</f>
        <v>Kanha</v>
      </c>
      <c r="E122" s="16" t="n">
        <f aca="false">IFERROR(__xludf.dummyfunction("""COMPUTED_VALUE"""),42826)</f>
        <v>42826</v>
      </c>
      <c r="F122" s="9" t="n">
        <f aca="false">IFERROR(__xludf.dummyfunction("""COMPUTED_VALUE"""),11000)</f>
        <v>11000</v>
      </c>
      <c r="G122" s="2" t="n">
        <f aca="false">IFERROR(__xludf.dummyfunction("""COMPUTED_VALUE"""),30)</f>
        <v>30</v>
      </c>
      <c r="H122" s="2" t="n">
        <f aca="false">IFERROR(__xludf.dummyfunction("""COMPUTED_VALUE"""),30)</f>
        <v>30</v>
      </c>
      <c r="I122" s="9" t="n">
        <f aca="false">IFERROR(__xludf.dummyfunction("""COMPUTED_VALUE"""),132000)</f>
        <v>132000</v>
      </c>
      <c r="J122" s="9" t="n">
        <f aca="false">IFERROR(__xludf.dummyfunction("""COMPUTED_VALUE"""),333)</f>
        <v>333</v>
      </c>
      <c r="K122" s="9"/>
      <c r="L122" s="9" t="n">
        <f aca="false">IFERROR(__xludf.dummyfunction("""COMPUTED_VALUE"""),0)</f>
        <v>0</v>
      </c>
      <c r="M122" s="9"/>
    </row>
    <row r="123" customFormat="false" ht="15.75" hidden="false" customHeight="false" outlineLevel="0" collapsed="false">
      <c r="A123" s="2" t="str">
        <f aca="false">IFERROR(__xludf.dummyfunction("""COMPUTED_VALUE"""),"SMSF/KAN/0264")</f>
        <v>SMSF/KAN/0264</v>
      </c>
      <c r="B123" s="2" t="str">
        <f aca="false">IFERROR(__xludf.dummyfunction("""COMPUTED_VALUE"""),"RAJA SINGH")</f>
        <v>RAJA SINGH</v>
      </c>
      <c r="C123" s="2" t="str">
        <f aca="false">IFERROR(__xludf.dummyfunction("""COMPUTED_VALUE"""),"Plantation")</f>
        <v>Plantation</v>
      </c>
      <c r="D123" s="2" t="str">
        <f aca="false">IFERROR(__xludf.dummyfunction("""COMPUTED_VALUE"""),"Kanha")</f>
        <v>Kanha</v>
      </c>
      <c r="E123" s="16" t="n">
        <f aca="false">IFERROR(__xludf.dummyfunction("""COMPUTED_VALUE"""),42826)</f>
        <v>42826</v>
      </c>
      <c r="F123" s="9" t="n">
        <f aca="false">IFERROR(__xludf.dummyfunction("""COMPUTED_VALUE"""),11000)</f>
        <v>11000</v>
      </c>
      <c r="G123" s="2" t="n">
        <f aca="false">IFERROR(__xludf.dummyfunction("""COMPUTED_VALUE"""),30)</f>
        <v>30</v>
      </c>
      <c r="H123" s="2" t="n">
        <f aca="false">IFERROR(__xludf.dummyfunction("""COMPUTED_VALUE"""),30)</f>
        <v>30</v>
      </c>
      <c r="I123" s="9" t="n">
        <f aca="false">IFERROR(__xludf.dummyfunction("""COMPUTED_VALUE"""),132000)</f>
        <v>132000</v>
      </c>
      <c r="J123" s="9" t="n">
        <f aca="false">IFERROR(__xludf.dummyfunction("""COMPUTED_VALUE"""),55)</f>
        <v>55</v>
      </c>
      <c r="K123" s="9"/>
      <c r="L123" s="9" t="n">
        <f aca="false">IFERROR(__xludf.dummyfunction("""COMPUTED_VALUE"""),0)</f>
        <v>0</v>
      </c>
      <c r="M123" s="9"/>
    </row>
    <row r="124" customFormat="false" ht="15.75" hidden="false" customHeight="false" outlineLevel="0" collapsed="false">
      <c r="A124" s="2" t="str">
        <f aca="false">IFERROR(__xludf.dummyfunction("""COMPUTED_VALUE"""),"SMSF/KAN/0381")</f>
        <v>SMSF/KAN/0381</v>
      </c>
      <c r="B124" s="2" t="str">
        <f aca="false">IFERROR(__xludf.dummyfunction("""COMPUTED_VALUE"""),"Manikandan")</f>
        <v>Manikandan</v>
      </c>
      <c r="C124" s="2" t="str">
        <f aca="false">IFERROR(__xludf.dummyfunction("""COMPUTED_VALUE"""),"Plantation")</f>
        <v>Plantation</v>
      </c>
      <c r="D124" s="2" t="str">
        <f aca="false">IFERROR(__xludf.dummyfunction("""COMPUTED_VALUE"""),"Kanha")</f>
        <v>Kanha</v>
      </c>
      <c r="E124" s="16" t="n">
        <f aca="false">IFERROR(__xludf.dummyfunction("""COMPUTED_VALUE"""),43043)</f>
        <v>43043</v>
      </c>
      <c r="F124" s="9" t="n">
        <f aca="false">IFERROR(__xludf.dummyfunction("""COMPUTED_VALUE"""),13200)</f>
        <v>13200</v>
      </c>
      <c r="G124" s="2" t="n">
        <f aca="false">IFERROR(__xludf.dummyfunction("""COMPUTED_VALUE"""),30)</f>
        <v>30</v>
      </c>
      <c r="H124" s="2" t="n">
        <f aca="false">IFERROR(__xludf.dummyfunction("""COMPUTED_VALUE"""),30)</f>
        <v>30</v>
      </c>
      <c r="I124" s="9" t="n">
        <f aca="false">IFERROR(__xludf.dummyfunction("""COMPUTED_VALUE"""),158400)</f>
        <v>158400</v>
      </c>
      <c r="J124" s="9" t="n">
        <f aca="false">IFERROR(__xludf.dummyfunction("""COMPUTED_VALUE"""),84)</f>
        <v>84</v>
      </c>
      <c r="K124" s="9"/>
      <c r="L124" s="9" t="n">
        <f aca="false">IFERROR(__xludf.dummyfunction("""COMPUTED_VALUE"""),0)</f>
        <v>0</v>
      </c>
      <c r="M124" s="9"/>
    </row>
    <row r="125" customFormat="false" ht="15.75" hidden="false" customHeight="false" outlineLevel="0" collapsed="false">
      <c r="A125" s="2" t="str">
        <f aca="false">IFERROR(__xludf.dummyfunction("""COMPUTED_VALUE"""),"SMSF/KAN/0391")</f>
        <v>SMSF/KAN/0391</v>
      </c>
      <c r="B125" s="2" t="str">
        <f aca="false">IFERROR(__xludf.dummyfunction("""COMPUTED_VALUE"""),"Jeyachandran")</f>
        <v>Jeyachandran</v>
      </c>
      <c r="C125" s="2" t="str">
        <f aca="false">IFERROR(__xludf.dummyfunction("""COMPUTED_VALUE"""),"Plantation")</f>
        <v>Plantation</v>
      </c>
      <c r="D125" s="2" t="str">
        <f aca="false">IFERROR(__xludf.dummyfunction("""COMPUTED_VALUE"""),"Kanha")</f>
        <v>Kanha</v>
      </c>
      <c r="E125" s="16" t="n">
        <f aca="false">IFERROR(__xludf.dummyfunction("""COMPUTED_VALUE"""),43046)</f>
        <v>43046</v>
      </c>
      <c r="F125" s="9" t="n">
        <f aca="false">IFERROR(__xludf.dummyfunction("""COMPUTED_VALUE"""),13200)</f>
        <v>13200</v>
      </c>
      <c r="G125" s="2" t="n">
        <f aca="false">IFERROR(__xludf.dummyfunction("""COMPUTED_VALUE"""),30)</f>
        <v>30</v>
      </c>
      <c r="H125" s="2" t="n">
        <f aca="false">IFERROR(__xludf.dummyfunction("""COMPUTED_VALUE"""),30)</f>
        <v>30</v>
      </c>
      <c r="I125" s="9" t="n">
        <f aca="false">IFERROR(__xludf.dummyfunction("""COMPUTED_VALUE"""),158400)</f>
        <v>158400</v>
      </c>
      <c r="J125" s="9" t="n">
        <f aca="false">IFERROR(__xludf.dummyfunction("""COMPUTED_VALUE"""),340)</f>
        <v>340</v>
      </c>
      <c r="K125" s="9"/>
      <c r="L125" s="9" t="n">
        <f aca="false">IFERROR(__xludf.dummyfunction("""COMPUTED_VALUE"""),0)</f>
        <v>0</v>
      </c>
      <c r="M125" s="9"/>
    </row>
    <row r="126" customFormat="false" ht="15.75" hidden="false" customHeight="false" outlineLevel="0" collapsed="false">
      <c r="A126" s="2" t="str">
        <f aca="false">IFERROR(__xludf.dummyfunction("""COMPUTED_VALUE"""),"SMSF/KAN/0592")</f>
        <v>SMSF/KAN/0592</v>
      </c>
      <c r="B126" s="2" t="str">
        <f aca="false">IFERROR(__xludf.dummyfunction("""COMPUTED_VALUE"""),"Ranjith Singh")</f>
        <v>Ranjith Singh</v>
      </c>
      <c r="C126" s="2" t="str">
        <f aca="false">IFERROR(__xludf.dummyfunction("""COMPUTED_VALUE"""),"Plantation")</f>
        <v>Plantation</v>
      </c>
      <c r="D126" s="2" t="str">
        <f aca="false">IFERROR(__xludf.dummyfunction("""COMPUTED_VALUE"""),"Kanha")</f>
        <v>Kanha</v>
      </c>
      <c r="E126" s="16" t="n">
        <f aca="false">IFERROR(__xludf.dummyfunction("""COMPUTED_VALUE"""),42948)</f>
        <v>42948</v>
      </c>
      <c r="F126" s="9" t="n">
        <f aca="false">IFERROR(__xludf.dummyfunction("""COMPUTED_VALUE"""),12000)</f>
        <v>12000</v>
      </c>
      <c r="G126" s="2" t="n">
        <f aca="false">IFERROR(__xludf.dummyfunction("""COMPUTED_VALUE"""),30)</f>
        <v>30</v>
      </c>
      <c r="H126" s="2" t="n">
        <f aca="false">IFERROR(__xludf.dummyfunction("""COMPUTED_VALUE"""),30)</f>
        <v>30</v>
      </c>
      <c r="I126" s="9" t="n">
        <f aca="false">IFERROR(__xludf.dummyfunction("""COMPUTED_VALUE"""),144000)</f>
        <v>144000</v>
      </c>
      <c r="J126" s="9" t="n">
        <f aca="false">IFERROR(__xludf.dummyfunction("""COMPUTED_VALUE"""),256)</f>
        <v>256</v>
      </c>
      <c r="K126" s="9"/>
      <c r="L126" s="9" t="n">
        <f aca="false">IFERROR(__xludf.dummyfunction("""COMPUTED_VALUE"""),0)</f>
        <v>0</v>
      </c>
      <c r="M126" s="9"/>
    </row>
    <row r="127" customFormat="false" ht="15.75" hidden="false" customHeight="false" outlineLevel="0" collapsed="false">
      <c r="A127" s="2" t="str">
        <f aca="false">IFERROR(__xludf.dummyfunction("""COMPUTED_VALUE"""),"SMSF/KAN/1032")</f>
        <v>SMSF/KAN/1032</v>
      </c>
      <c r="B127" s="2" t="str">
        <f aca="false">IFERROR(__xludf.dummyfunction("""COMPUTED_VALUE"""),"SATYENDRA KUMAR RAVI")</f>
        <v>SATYENDRA KUMAR RAVI</v>
      </c>
      <c r="C127" s="2" t="str">
        <f aca="false">IFERROR(__xludf.dummyfunction("""COMPUTED_VALUE"""),"Plantation")</f>
        <v>Plantation</v>
      </c>
      <c r="D127" s="2" t="str">
        <f aca="false">IFERROR(__xludf.dummyfunction("""COMPUTED_VALUE"""),"Kanha")</f>
        <v>Kanha</v>
      </c>
      <c r="E127" s="16" t="n">
        <f aca="false">IFERROR(__xludf.dummyfunction("""COMPUTED_VALUE"""),43526)</f>
        <v>43526</v>
      </c>
      <c r="F127" s="9" t="n">
        <f aca="false">IFERROR(__xludf.dummyfunction("""COMPUTED_VALUE"""),9000)</f>
        <v>9000</v>
      </c>
      <c r="G127" s="2" t="n">
        <f aca="false">IFERROR(__xludf.dummyfunction("""COMPUTED_VALUE"""),30)</f>
        <v>30</v>
      </c>
      <c r="H127" s="2" t="n">
        <f aca="false">IFERROR(__xludf.dummyfunction("""COMPUTED_VALUE"""),30)</f>
        <v>30</v>
      </c>
      <c r="I127" s="9" t="n">
        <f aca="false">IFERROR(__xludf.dummyfunction("""COMPUTED_VALUE"""),108000)</f>
        <v>108000</v>
      </c>
      <c r="J127" s="9" t="n">
        <f aca="false">IFERROR(__xludf.dummyfunction("""COMPUTED_VALUE"""),84)</f>
        <v>84</v>
      </c>
      <c r="K127" s="9"/>
      <c r="L127" s="9" t="n">
        <f aca="false">IFERROR(__xludf.dummyfunction("""COMPUTED_VALUE"""),0)</f>
        <v>0</v>
      </c>
      <c r="M127" s="9"/>
    </row>
    <row r="128" customFormat="false" ht="15.75" hidden="false" customHeight="false" outlineLevel="0" collapsed="false">
      <c r="A128" s="2" t="str">
        <f aca="false">IFERROR(__xludf.dummyfunction("""COMPUTED_VALUE"""),"SMSF/KAN/1033")</f>
        <v>SMSF/KAN/1033</v>
      </c>
      <c r="B128" s="2" t="str">
        <f aca="false">IFERROR(__xludf.dummyfunction("""COMPUTED_VALUE"""),"LAKSHMI SINGH")</f>
        <v>LAKSHMI SINGH</v>
      </c>
      <c r="C128" s="2" t="str">
        <f aca="false">IFERROR(__xludf.dummyfunction("""COMPUTED_VALUE"""),"Plantation")</f>
        <v>Plantation</v>
      </c>
      <c r="D128" s="2" t="str">
        <f aca="false">IFERROR(__xludf.dummyfunction("""COMPUTED_VALUE"""),"Kanha")</f>
        <v>Kanha</v>
      </c>
      <c r="E128" s="16" t="n">
        <f aca="false">IFERROR(__xludf.dummyfunction("""COMPUTED_VALUE"""),43526)</f>
        <v>43526</v>
      </c>
      <c r="F128" s="9" t="n">
        <f aca="false">IFERROR(__xludf.dummyfunction("""COMPUTED_VALUE"""),10000)</f>
        <v>10000</v>
      </c>
      <c r="G128" s="2" t="n">
        <f aca="false">IFERROR(__xludf.dummyfunction("""COMPUTED_VALUE"""),30)</f>
        <v>30</v>
      </c>
      <c r="H128" s="2" t="n">
        <f aca="false">IFERROR(__xludf.dummyfunction("""COMPUTED_VALUE"""),30)</f>
        <v>30</v>
      </c>
      <c r="I128" s="9" t="n">
        <f aca="false">IFERROR(__xludf.dummyfunction("""COMPUTED_VALUE"""),120000)</f>
        <v>120000</v>
      </c>
      <c r="J128" s="9" t="n">
        <f aca="false">IFERROR(__xludf.dummyfunction("""COMPUTED_VALUE"""),55)</f>
        <v>55</v>
      </c>
      <c r="K128" s="9"/>
      <c r="L128" s="9" t="n">
        <f aca="false">IFERROR(__xludf.dummyfunction("""COMPUTED_VALUE"""),0)</f>
        <v>0</v>
      </c>
      <c r="M128" s="9"/>
    </row>
    <row r="129" customFormat="false" ht="15.75" hidden="false" customHeight="false" outlineLevel="0" collapsed="false">
      <c r="A129" s="2" t="str">
        <f aca="false">IFERROR(__xludf.dummyfunction("""COMPUTED_VALUE"""),"SMSF/KAN/1038")</f>
        <v>SMSF/KAN/1038</v>
      </c>
      <c r="B129" s="2" t="str">
        <f aca="false">IFERROR(__xludf.dummyfunction("""COMPUTED_VALUE"""),"SARJU SINGH")</f>
        <v>SARJU SINGH</v>
      </c>
      <c r="C129" s="2" t="str">
        <f aca="false">IFERROR(__xludf.dummyfunction("""COMPUTED_VALUE"""),"Plantation")</f>
        <v>Plantation</v>
      </c>
      <c r="D129" s="2" t="str">
        <f aca="false">IFERROR(__xludf.dummyfunction("""COMPUTED_VALUE"""),"Kanha")</f>
        <v>Kanha</v>
      </c>
      <c r="E129" s="16" t="n">
        <f aca="false">IFERROR(__xludf.dummyfunction("""COMPUTED_VALUE"""),43526)</f>
        <v>43526</v>
      </c>
      <c r="F129" s="9" t="n">
        <f aca="false">IFERROR(__xludf.dummyfunction("""COMPUTED_VALUE"""),9000)</f>
        <v>9000</v>
      </c>
      <c r="G129" s="2" t="n">
        <f aca="false">IFERROR(__xludf.dummyfunction("""COMPUTED_VALUE"""),30)</f>
        <v>30</v>
      </c>
      <c r="H129" s="2" t="n">
        <f aca="false">IFERROR(__xludf.dummyfunction("""COMPUTED_VALUE"""),30)</f>
        <v>30</v>
      </c>
      <c r="I129" s="9" t="n">
        <f aca="false">IFERROR(__xludf.dummyfunction("""COMPUTED_VALUE"""),108000)</f>
        <v>108000</v>
      </c>
      <c r="J129" s="9" t="n">
        <f aca="false">IFERROR(__xludf.dummyfunction("""COMPUTED_VALUE"""),84)</f>
        <v>84</v>
      </c>
      <c r="K129" s="9"/>
      <c r="L129" s="9" t="n">
        <f aca="false">IFERROR(__xludf.dummyfunction("""COMPUTED_VALUE"""),0)</f>
        <v>0</v>
      </c>
      <c r="M129" s="9"/>
    </row>
    <row r="130" customFormat="false" ht="15.75" hidden="false" customHeight="false" outlineLevel="0" collapsed="false">
      <c r="A130" s="2" t="str">
        <f aca="false">IFERROR(__xludf.dummyfunction("""COMPUTED_VALUE"""),"SMSF/KAN/1160")</f>
        <v>SMSF/KAN/1160</v>
      </c>
      <c r="B130" s="2" t="str">
        <f aca="false">IFERROR(__xludf.dummyfunction("""COMPUTED_VALUE"""),"Gowthaman")</f>
        <v>Gowthaman</v>
      </c>
      <c r="C130" s="2" t="str">
        <f aca="false">IFERROR(__xludf.dummyfunction("""COMPUTED_VALUE"""),"Plantation")</f>
        <v>Plantation</v>
      </c>
      <c r="D130" s="2" t="str">
        <f aca="false">IFERROR(__xludf.dummyfunction("""COMPUTED_VALUE"""),"Kanha")</f>
        <v>Kanha</v>
      </c>
      <c r="E130" s="16" t="n">
        <f aca="false">IFERROR(__xludf.dummyfunction("""COMPUTED_VALUE"""),43617)</f>
        <v>43617</v>
      </c>
      <c r="F130" s="9" t="n">
        <f aca="false">IFERROR(__xludf.dummyfunction("""COMPUTED_VALUE"""),30000)</f>
        <v>30000</v>
      </c>
      <c r="G130" s="2" t="n">
        <f aca="false">IFERROR(__xludf.dummyfunction("""COMPUTED_VALUE"""),30)</f>
        <v>30</v>
      </c>
      <c r="H130" s="2" t="n">
        <f aca="false">IFERROR(__xludf.dummyfunction("""COMPUTED_VALUE"""),30)</f>
        <v>30</v>
      </c>
      <c r="I130" s="9" t="n">
        <f aca="false">IFERROR(__xludf.dummyfunction("""COMPUTED_VALUE"""),360000)</f>
        <v>360000</v>
      </c>
      <c r="J130" s="9" t="n">
        <f aca="false">IFERROR(__xludf.dummyfunction("""COMPUTED_VALUE"""),222)</f>
        <v>222</v>
      </c>
      <c r="K130" s="9"/>
      <c r="L130" s="9" t="n">
        <f aca="false">IFERROR(__xludf.dummyfunction("""COMPUTED_VALUE"""),0)</f>
        <v>0</v>
      </c>
      <c r="M130" s="9"/>
    </row>
    <row r="131" customFormat="false" ht="15.75" hidden="false" customHeight="false" outlineLevel="0" collapsed="false">
      <c r="A131" s="2" t="str">
        <f aca="false">IFERROR(__xludf.dummyfunction("""COMPUTED_VALUE"""),"SMSF/KAN/0202")</f>
        <v>SMSF/KAN/0202</v>
      </c>
      <c r="B131" s="2" t="str">
        <f aca="false">IFERROR(__xludf.dummyfunction("""COMPUTED_VALUE"""),"Raj Kumar Singh")</f>
        <v>Raj Kumar Singh</v>
      </c>
      <c r="C131" s="2" t="str">
        <f aca="false">IFERROR(__xludf.dummyfunction("""COMPUTED_VALUE"""),"Plantation")</f>
        <v>Plantation</v>
      </c>
      <c r="D131" s="2" t="str">
        <f aca="false">IFERROR(__xludf.dummyfunction("""COMPUTED_VALUE"""),"Kanha")</f>
        <v>Kanha</v>
      </c>
      <c r="E131" s="16" t="n">
        <f aca="false">IFERROR(__xludf.dummyfunction("""COMPUTED_VALUE"""),43762)</f>
        <v>43762</v>
      </c>
      <c r="F131" s="9" t="n">
        <f aca="false">IFERROR(__xludf.dummyfunction("""COMPUTED_VALUE"""),10000)</f>
        <v>10000</v>
      </c>
      <c r="G131" s="2" t="n">
        <f aca="false">IFERROR(__xludf.dummyfunction("""COMPUTED_VALUE"""),30)</f>
        <v>30</v>
      </c>
      <c r="H131" s="2" t="n">
        <f aca="false">IFERROR(__xludf.dummyfunction("""COMPUTED_VALUE"""),30)</f>
        <v>30</v>
      </c>
      <c r="I131" s="9" t="n">
        <f aca="false">IFERROR(__xludf.dummyfunction("""COMPUTED_VALUE"""),120000)</f>
        <v>120000</v>
      </c>
      <c r="J131" s="9" t="n">
        <f aca="false">IFERROR(__xludf.dummyfunction("""COMPUTED_VALUE"""),55)</f>
        <v>55</v>
      </c>
      <c r="K131" s="9"/>
      <c r="L131" s="9" t="n">
        <f aca="false">IFERROR(__xludf.dummyfunction("""COMPUTED_VALUE"""),0)</f>
        <v>0</v>
      </c>
      <c r="M131" s="9"/>
    </row>
    <row r="132" customFormat="false" ht="15.75" hidden="false" customHeight="false" outlineLevel="0" collapsed="false">
      <c r="A132" s="2" t="str">
        <f aca="false">IFERROR(__xludf.dummyfunction("""COMPUTED_VALUE"""),"SHKJ/KAN/1335")</f>
        <v>SHKJ/KAN/1335</v>
      </c>
      <c r="B132" s="2" t="str">
        <f aca="false">IFERROR(__xludf.dummyfunction("""COMPUTED_VALUE"""),"Janagam Vinay Kumar")</f>
        <v>Janagam Vinay Kumar</v>
      </c>
      <c r="C132" s="2" t="str">
        <f aca="false">IFERROR(__xludf.dummyfunction("""COMPUTED_VALUE"""),"Plantation")</f>
        <v>Plantation</v>
      </c>
      <c r="D132" s="2" t="str">
        <f aca="false">IFERROR(__xludf.dummyfunction("""COMPUTED_VALUE"""),"Kanha")</f>
        <v>Kanha</v>
      </c>
      <c r="E132" s="16" t="n">
        <f aca="false">IFERROR(__xludf.dummyfunction("""COMPUTED_VALUE"""),43800)</f>
        <v>43800</v>
      </c>
      <c r="F132" s="9" t="n">
        <f aca="false">IFERROR(__xludf.dummyfunction("""COMPUTED_VALUE"""),15000)</f>
        <v>15000</v>
      </c>
      <c r="G132" s="2" t="n">
        <f aca="false">IFERROR(__xludf.dummyfunction("""COMPUTED_VALUE"""),30)</f>
        <v>30</v>
      </c>
      <c r="H132" s="2" t="n">
        <f aca="false">IFERROR(__xludf.dummyfunction("""COMPUTED_VALUE"""),30)</f>
        <v>30</v>
      </c>
      <c r="I132" s="9" t="n">
        <f aca="false">IFERROR(__xludf.dummyfunction("""COMPUTED_VALUE"""),180000)</f>
        <v>180000</v>
      </c>
      <c r="J132" s="9" t="n">
        <f aca="false">IFERROR(__xludf.dummyfunction("""COMPUTED_VALUE"""),55)</f>
        <v>55</v>
      </c>
      <c r="K132" s="9"/>
      <c r="L132" s="9" t="n">
        <f aca="false">IFERROR(__xludf.dummyfunction("""COMPUTED_VALUE"""),0)</f>
        <v>0</v>
      </c>
      <c r="M132" s="9"/>
    </row>
    <row r="133" customFormat="false" ht="15.75" hidden="false" customHeight="false" outlineLevel="0" collapsed="false">
      <c r="A133" s="2" t="str">
        <f aca="false">IFERROR(__xludf.dummyfunction("""COMPUTED_VALUE"""),"SMSF/KAN/1284")</f>
        <v>SMSF/KAN/1284</v>
      </c>
      <c r="B133" s="2" t="str">
        <f aca="false">IFERROR(__xludf.dummyfunction("""COMPUTED_VALUE"""),"Thammali Kalamma")</f>
        <v>Thammali Kalamma</v>
      </c>
      <c r="C133" s="2" t="str">
        <f aca="false">IFERROR(__xludf.dummyfunction("""COMPUTED_VALUE"""),"Plantation")</f>
        <v>Plantation</v>
      </c>
      <c r="D133" s="2" t="str">
        <f aca="false">IFERROR(__xludf.dummyfunction("""COMPUTED_VALUE"""),"Kanha")</f>
        <v>Kanha</v>
      </c>
      <c r="E133" s="16" t="n">
        <f aca="false">IFERROR(__xludf.dummyfunction("""COMPUTED_VALUE"""),43795)</f>
        <v>43795</v>
      </c>
      <c r="F133" s="9" t="n">
        <f aca="false">IFERROR(__xludf.dummyfunction("""COMPUTED_VALUE"""),8000)</f>
        <v>8000</v>
      </c>
      <c r="G133" s="2" t="n">
        <f aca="false">IFERROR(__xludf.dummyfunction("""COMPUTED_VALUE"""),30)</f>
        <v>30</v>
      </c>
      <c r="H133" s="2" t="n">
        <f aca="false">IFERROR(__xludf.dummyfunction("""COMPUTED_VALUE"""),30)</f>
        <v>30</v>
      </c>
      <c r="I133" s="9" t="n">
        <f aca="false">IFERROR(__xludf.dummyfunction("""COMPUTED_VALUE"""),96000)</f>
        <v>96000</v>
      </c>
      <c r="J133" s="9" t="n">
        <f aca="false">IFERROR(__xludf.dummyfunction("""COMPUTED_VALUE"""),84)</f>
        <v>84</v>
      </c>
      <c r="K133" s="9"/>
      <c r="L133" s="9" t="n">
        <f aca="false">IFERROR(__xludf.dummyfunction("""COMPUTED_VALUE"""),0)</f>
        <v>0</v>
      </c>
      <c r="M133" s="9"/>
    </row>
    <row r="134" customFormat="false" ht="15.75" hidden="false" customHeight="false" outlineLevel="0" collapsed="false">
      <c r="A134" s="2" t="str">
        <f aca="false">IFERROR(__xludf.dummyfunction("""COMPUTED_VALUE"""),"SHKJ/KAN/1331")</f>
        <v>SHKJ/KAN/1331</v>
      </c>
      <c r="B134" s="2" t="str">
        <f aca="false">IFERROR(__xludf.dummyfunction("""COMPUTED_VALUE"""),"Thapeta Sumalatha")</f>
        <v>Thapeta Sumalatha</v>
      </c>
      <c r="C134" s="2" t="str">
        <f aca="false">IFERROR(__xludf.dummyfunction("""COMPUTED_VALUE"""),"R&amp;D Executive")</f>
        <v>R&amp;D Executive</v>
      </c>
      <c r="D134" s="2" t="str">
        <f aca="false">IFERROR(__xludf.dummyfunction("""COMPUTED_VALUE"""),"Kanha")</f>
        <v>Kanha</v>
      </c>
      <c r="E134" s="16" t="n">
        <f aca="false">IFERROR(__xludf.dummyfunction("""COMPUTED_VALUE"""),43815)</f>
        <v>43815</v>
      </c>
      <c r="F134" s="9" t="n">
        <f aca="false">IFERROR(__xludf.dummyfunction("""COMPUTED_VALUE"""),12000)</f>
        <v>12000</v>
      </c>
      <c r="G134" s="2" t="n">
        <f aca="false">IFERROR(__xludf.dummyfunction("""COMPUTED_VALUE"""),30)</f>
        <v>30</v>
      </c>
      <c r="H134" s="2" t="n">
        <f aca="false">IFERROR(__xludf.dummyfunction("""COMPUTED_VALUE"""),30)</f>
        <v>30</v>
      </c>
      <c r="I134" s="9" t="n">
        <f aca="false">IFERROR(__xludf.dummyfunction("""COMPUTED_VALUE"""),144000)</f>
        <v>144000</v>
      </c>
      <c r="J134" s="9" t="n">
        <f aca="false">IFERROR(__xludf.dummyfunction("""COMPUTED_VALUE"""),55)</f>
        <v>55</v>
      </c>
      <c r="K134" s="9"/>
      <c r="L134" s="9" t="n">
        <f aca="false">IFERROR(__xludf.dummyfunction("""COMPUTED_VALUE"""),0)</f>
        <v>0</v>
      </c>
      <c r="M134" s="9"/>
    </row>
    <row r="135" customFormat="false" ht="15.75" hidden="false" customHeight="false" outlineLevel="0" collapsed="false">
      <c r="A135" s="2" t="str">
        <f aca="false">IFERROR(__xludf.dummyfunction("""COMPUTED_VALUE"""),"SHKJ/KAN/1210")</f>
        <v>SHKJ/KAN/1210</v>
      </c>
      <c r="B135" s="2" t="str">
        <f aca="false">IFERROR(__xludf.dummyfunction("""COMPUTED_VALUE"""),"Dhavalkumar Ashokbhai Patel")</f>
        <v>Dhavalkumar Ashokbhai Patel</v>
      </c>
      <c r="C135" s="2" t="str">
        <f aca="false">IFERROR(__xludf.dummyfunction("""COMPUTED_VALUE"""),"Plantation")</f>
        <v>Plantation</v>
      </c>
      <c r="D135" s="2" t="str">
        <f aca="false">IFERROR(__xludf.dummyfunction("""COMPUTED_VALUE"""),"Kanha")</f>
        <v>Kanha</v>
      </c>
      <c r="E135" s="16" t="n">
        <f aca="false">IFERROR(__xludf.dummyfunction("""COMPUTED_VALUE"""),43703)</f>
        <v>43703</v>
      </c>
      <c r="F135" s="9" t="n">
        <f aca="false">IFERROR(__xludf.dummyfunction("""COMPUTED_VALUE"""),20000)</f>
        <v>20000</v>
      </c>
      <c r="G135" s="2" t="n">
        <f aca="false">IFERROR(__xludf.dummyfunction("""COMPUTED_VALUE"""),30)</f>
        <v>30</v>
      </c>
      <c r="H135" s="2" t="n">
        <f aca="false">IFERROR(__xludf.dummyfunction("""COMPUTED_VALUE"""),30)</f>
        <v>30</v>
      </c>
      <c r="I135" s="9" t="n">
        <f aca="false">IFERROR(__xludf.dummyfunction("""COMPUTED_VALUE"""),240000)</f>
        <v>240000</v>
      </c>
      <c r="J135" s="9" t="n">
        <f aca="false">IFERROR(__xludf.dummyfunction("""COMPUTED_VALUE"""),84)</f>
        <v>84</v>
      </c>
      <c r="K135" s="9"/>
      <c r="L135" s="9" t="n">
        <f aca="false">IFERROR(__xludf.dummyfunction("""COMPUTED_VALUE"""),0)</f>
        <v>0</v>
      </c>
      <c r="M135" s="9"/>
    </row>
    <row r="136" customFormat="false" ht="15.75" hidden="false" customHeight="false" outlineLevel="0" collapsed="false">
      <c r="A136" s="2" t="str">
        <f aca="false">IFERROR(__xludf.dummyfunction("""COMPUTED_VALUE"""),"SHKJ/KAN/1356")</f>
        <v>SHKJ/KAN/1356</v>
      </c>
      <c r="B136" s="2" t="str">
        <f aca="false">IFERROR(__xludf.dummyfunction("""COMPUTED_VALUE"""),"Yogeshwari K")</f>
        <v>Yogeshwari K</v>
      </c>
      <c r="C136" s="2" t="str">
        <f aca="false">IFERROR(__xludf.dummyfunction("""COMPUTED_VALUE"""),"Plantation")</f>
        <v>Plantation</v>
      </c>
      <c r="D136" s="2" t="str">
        <f aca="false">IFERROR(__xludf.dummyfunction("""COMPUTED_VALUE"""),"Kanha")</f>
        <v>Kanha</v>
      </c>
      <c r="E136" s="16" t="n">
        <f aca="false">IFERROR(__xludf.dummyfunction("""COMPUTED_VALUE"""),43672)</f>
        <v>43672</v>
      </c>
      <c r="F136" s="9" t="n">
        <f aca="false">IFERROR(__xludf.dummyfunction("""COMPUTED_VALUE"""),10000)</f>
        <v>10000</v>
      </c>
      <c r="G136" s="2" t="n">
        <f aca="false">IFERROR(__xludf.dummyfunction("""COMPUTED_VALUE"""),30)</f>
        <v>30</v>
      </c>
      <c r="H136" s="2" t="n">
        <f aca="false">IFERROR(__xludf.dummyfunction("""COMPUTED_VALUE"""),30)</f>
        <v>30</v>
      </c>
      <c r="I136" s="9" t="n">
        <f aca="false">IFERROR(__xludf.dummyfunction("""COMPUTED_VALUE"""),120000)</f>
        <v>120000</v>
      </c>
      <c r="J136" s="9" t="n">
        <f aca="false">IFERROR(__xludf.dummyfunction("""COMPUTED_VALUE"""),84)</f>
        <v>84</v>
      </c>
      <c r="K136" s="9"/>
      <c r="L136" s="9" t="n">
        <f aca="false">IFERROR(__xludf.dummyfunction("""COMPUTED_VALUE"""),0)</f>
        <v>0</v>
      </c>
      <c r="M136" s="9"/>
    </row>
    <row r="137" customFormat="false" ht="15.75" hidden="false" customHeight="false" outlineLevel="0" collapsed="false">
      <c r="A137" s="2" t="str">
        <f aca="false">IFERROR(__xludf.dummyfunction("""COMPUTED_VALUE"""),"SMSF/KAN/0393")</f>
        <v>SMSF/KAN/0393</v>
      </c>
      <c r="B137" s="2" t="str">
        <f aca="false">IFERROR(__xludf.dummyfunction("""COMPUTED_VALUE"""),"Karthik")</f>
        <v>Karthik</v>
      </c>
      <c r="C137" s="2" t="str">
        <f aca="false">IFERROR(__xludf.dummyfunction("""COMPUTED_VALUE"""),"Plantation")</f>
        <v>Plantation</v>
      </c>
      <c r="D137" s="2" t="str">
        <f aca="false">IFERROR(__xludf.dummyfunction("""COMPUTED_VALUE"""),"Kanha")</f>
        <v>Kanha</v>
      </c>
      <c r="E137" s="16" t="n">
        <f aca="false">IFERROR(__xludf.dummyfunction("""COMPUTED_VALUE"""),43040)</f>
        <v>43040</v>
      </c>
      <c r="F137" s="9" t="n">
        <f aca="false">IFERROR(__xludf.dummyfunction("""COMPUTED_VALUE"""),17600)</f>
        <v>17600</v>
      </c>
      <c r="G137" s="2" t="n">
        <f aca="false">IFERROR(__xludf.dummyfunction("""COMPUTED_VALUE"""),30)</f>
        <v>30</v>
      </c>
      <c r="H137" s="2" t="n">
        <f aca="false">IFERROR(__xludf.dummyfunction("""COMPUTED_VALUE"""),30)</f>
        <v>30</v>
      </c>
      <c r="I137" s="9" t="n">
        <f aca="false">IFERROR(__xludf.dummyfunction("""COMPUTED_VALUE"""),211200)</f>
        <v>211200</v>
      </c>
      <c r="J137" s="9" t="n">
        <f aca="false">IFERROR(__xludf.dummyfunction("""COMPUTED_VALUE"""),84)</f>
        <v>84</v>
      </c>
      <c r="K137" s="9"/>
      <c r="L137" s="9" t="n">
        <f aca="false">IFERROR(__xludf.dummyfunction("""COMPUTED_VALUE"""),0)</f>
        <v>0</v>
      </c>
      <c r="M137" s="9"/>
    </row>
    <row r="138" customFormat="false" ht="15.75" hidden="false" customHeight="false" outlineLevel="0" collapsed="false">
      <c r="A138" s="2" t="str">
        <f aca="false">IFERROR(__xludf.dummyfunction("""COMPUTED_VALUE"""),"SRC/KAN/1162")</f>
        <v>SRC/KAN/1162</v>
      </c>
      <c r="B138" s="2" t="str">
        <f aca="false">IFERROR(__xludf.dummyfunction("""COMPUTED_VALUE"""),"Deepthi")</f>
        <v>Deepthi</v>
      </c>
      <c r="C138" s="2" t="str">
        <f aca="false">IFERROR(__xludf.dummyfunction("""COMPUTED_VALUE"""),"Essential Oils")</f>
        <v>Essential Oils</v>
      </c>
      <c r="D138" s="2" t="str">
        <f aca="false">IFERROR(__xludf.dummyfunction("""COMPUTED_VALUE"""),"Kanha")</f>
        <v>Kanha</v>
      </c>
      <c r="E138" s="16" t="n">
        <f aca="false">IFERROR(__xludf.dummyfunction("""COMPUTED_VALUE"""),43672)</f>
        <v>43672</v>
      </c>
      <c r="F138" s="9" t="n">
        <f aca="false">IFERROR(__xludf.dummyfunction("""COMPUTED_VALUE"""),10000)</f>
        <v>10000</v>
      </c>
      <c r="G138" s="2" t="n">
        <f aca="false">IFERROR(__xludf.dummyfunction("""COMPUTED_VALUE"""),30)</f>
        <v>30</v>
      </c>
      <c r="H138" s="2" t="n">
        <f aca="false">IFERROR(__xludf.dummyfunction("""COMPUTED_VALUE"""),30)</f>
        <v>30</v>
      </c>
      <c r="I138" s="9" t="n">
        <f aca="false">IFERROR(__xludf.dummyfunction("""COMPUTED_VALUE"""),120000)</f>
        <v>120000</v>
      </c>
      <c r="J138" s="9" t="n">
        <f aca="false">IFERROR(__xludf.dummyfunction("""COMPUTED_VALUE"""),84)</f>
        <v>84</v>
      </c>
      <c r="K138" s="9"/>
      <c r="L138" s="9" t="n">
        <f aca="false">IFERROR(__xludf.dummyfunction("""COMPUTED_VALUE"""),0)</f>
        <v>0</v>
      </c>
      <c r="M138" s="9"/>
    </row>
    <row r="139" customFormat="false" ht="15.75" hidden="false" customHeight="false" outlineLevel="0" collapsed="false">
      <c r="A139" s="2" t="str">
        <f aca="false">IFERROR(__xludf.dummyfunction("""COMPUTED_VALUE"""),"HFI/KAN/1209")</f>
        <v>HFI/KAN/1209</v>
      </c>
      <c r="B139" s="2" t="str">
        <f aca="false">IFERROR(__xludf.dummyfunction("""COMPUTED_VALUE"""),"Saravana Raj")</f>
        <v>Saravana Raj</v>
      </c>
      <c r="C139" s="2" t="str">
        <f aca="false">IFERROR(__xludf.dummyfunction("""COMPUTED_VALUE"""),"Purchase-HFN Life")</f>
        <v>Purchase-HFN Life</v>
      </c>
      <c r="D139" s="2" t="str">
        <f aca="false">IFERROR(__xludf.dummyfunction("""COMPUTED_VALUE"""),"Kanha")</f>
        <v>Kanha</v>
      </c>
      <c r="E139" s="16" t="n">
        <f aca="false">IFERROR(__xludf.dummyfunction("""COMPUTED_VALUE"""),43651)</f>
        <v>43651</v>
      </c>
      <c r="F139" s="9" t="n">
        <f aca="false">IFERROR(__xludf.dummyfunction("""COMPUTED_VALUE"""),25000)</f>
        <v>25000</v>
      </c>
      <c r="G139" s="2" t="n">
        <f aca="false">IFERROR(__xludf.dummyfunction("""COMPUTED_VALUE"""),30)</f>
        <v>30</v>
      </c>
      <c r="H139" s="2" t="n">
        <f aca="false">IFERROR(__xludf.dummyfunction("""COMPUTED_VALUE"""),30)</f>
        <v>30</v>
      </c>
      <c r="I139" s="9" t="n">
        <f aca="false">IFERROR(__xludf.dummyfunction("""COMPUTED_VALUE"""),300000)</f>
        <v>300000</v>
      </c>
      <c r="J139" s="9" t="n">
        <f aca="false">IFERROR(__xludf.dummyfunction("""COMPUTED_VALUE"""),222)</f>
        <v>222</v>
      </c>
      <c r="K139" s="9"/>
      <c r="L139" s="9" t="n">
        <f aca="false">IFERROR(__xludf.dummyfunction("""COMPUTED_VALUE"""),0)</f>
        <v>0</v>
      </c>
      <c r="M139" s="9"/>
    </row>
    <row r="140" customFormat="false" ht="15.75" hidden="false" customHeight="false" outlineLevel="0" collapsed="false">
      <c r="A140" s="2" t="str">
        <f aca="false">IFERROR(__xludf.dummyfunction("""COMPUTED_VALUE"""),"SRC/KAN/1149")</f>
        <v>SRC/KAN/1149</v>
      </c>
      <c r="B140" s="2" t="str">
        <f aca="false">IFERROR(__xludf.dummyfunction("""COMPUTED_VALUE"""),"Nabhish Tyagi")</f>
        <v>Nabhish Tyagi</v>
      </c>
      <c r="C140" s="2" t="str">
        <f aca="false">IFERROR(__xludf.dummyfunction("""COMPUTED_VALUE"""),"Store-Books")</f>
        <v>Store-Books</v>
      </c>
      <c r="D140" s="2" t="str">
        <f aca="false">IFERROR(__xludf.dummyfunction("""COMPUTED_VALUE"""),"Kanha")</f>
        <v>Kanha</v>
      </c>
      <c r="E140" s="16" t="n">
        <f aca="false">IFERROR(__xludf.dummyfunction("""COMPUTED_VALUE"""),43661)</f>
        <v>43661</v>
      </c>
      <c r="F140" s="9" t="n">
        <f aca="false">IFERROR(__xludf.dummyfunction("""COMPUTED_VALUE"""),25000)</f>
        <v>25000</v>
      </c>
      <c r="G140" s="2" t="n">
        <f aca="false">IFERROR(__xludf.dummyfunction("""COMPUTED_VALUE"""),30)</f>
        <v>30</v>
      </c>
      <c r="H140" s="2" t="n">
        <f aca="false">IFERROR(__xludf.dummyfunction("""COMPUTED_VALUE"""),30)</f>
        <v>30</v>
      </c>
      <c r="I140" s="9" t="n">
        <f aca="false">IFERROR(__xludf.dummyfunction("""COMPUTED_VALUE"""),300000)</f>
        <v>300000</v>
      </c>
      <c r="J140" s="9" t="n">
        <f aca="false">IFERROR(__xludf.dummyfunction("""COMPUTED_VALUE"""),222)</f>
        <v>222</v>
      </c>
      <c r="K140" s="9"/>
      <c r="L140" s="9" t="n">
        <f aca="false">IFERROR(__xludf.dummyfunction("""COMPUTED_VALUE"""),0)</f>
        <v>0</v>
      </c>
      <c r="M140" s="9"/>
    </row>
    <row r="141" customFormat="false" ht="15.75" hidden="false" customHeight="false" outlineLevel="0" collapsed="false">
      <c r="A141" s="2" t="str">
        <f aca="false">IFERROR(__xludf.dummyfunction("""COMPUTED_VALUE"""),"SRC/KAN/1184")</f>
        <v>SRC/KAN/1184</v>
      </c>
      <c r="B141" s="2" t="str">
        <f aca="false">IFERROR(__xludf.dummyfunction("""COMPUTED_VALUE"""),"Girish Kumar Bichkunde")</f>
        <v>Girish Kumar Bichkunde</v>
      </c>
      <c r="C141" s="2" t="str">
        <f aca="false">IFERROR(__xludf.dummyfunction("""COMPUTED_VALUE"""),"Sales Executive-HFN")</f>
        <v>Sales Executive-HFN</v>
      </c>
      <c r="D141" s="2" t="str">
        <f aca="false">IFERROR(__xludf.dummyfunction("""COMPUTED_VALUE"""),"Kanha")</f>
        <v>Kanha</v>
      </c>
      <c r="E141" s="16" t="n">
        <f aca="false">IFERROR(__xludf.dummyfunction("""COMPUTED_VALUE"""),43672)</f>
        <v>43672</v>
      </c>
      <c r="F141" s="9" t="n">
        <f aca="false">IFERROR(__xludf.dummyfunction("""COMPUTED_VALUE"""),16000)</f>
        <v>16000</v>
      </c>
      <c r="G141" s="2" t="n">
        <f aca="false">IFERROR(__xludf.dummyfunction("""COMPUTED_VALUE"""),30)</f>
        <v>30</v>
      </c>
      <c r="H141" s="2" t="n">
        <f aca="false">IFERROR(__xludf.dummyfunction("""COMPUTED_VALUE"""),30)</f>
        <v>30</v>
      </c>
      <c r="I141" s="9" t="n">
        <f aca="false">IFERROR(__xludf.dummyfunction("""COMPUTED_VALUE"""),192000)</f>
        <v>192000</v>
      </c>
      <c r="J141" s="9" t="n">
        <f aca="false">IFERROR(__xludf.dummyfunction("""COMPUTED_VALUE"""),84)</f>
        <v>84</v>
      </c>
      <c r="K141" s="9"/>
      <c r="L141" s="9" t="n">
        <f aca="false">IFERROR(__xludf.dummyfunction("""COMPUTED_VALUE"""),0)</f>
        <v>0</v>
      </c>
      <c r="M141" s="9"/>
    </row>
    <row r="142" customFormat="false" ht="15.75" hidden="false" customHeight="false" outlineLevel="0" collapsed="false">
      <c r="A142" s="2" t="str">
        <f aca="false">IFERROR(__xludf.dummyfunction("""COMPUTED_VALUE"""),"SRC/KAN/1190")</f>
        <v>SRC/KAN/1190</v>
      </c>
      <c r="B142" s="2" t="str">
        <f aca="false">IFERROR(__xludf.dummyfunction("""COMPUTED_VALUE"""),"Harikaran")</f>
        <v>Harikaran</v>
      </c>
      <c r="C142" s="2" t="str">
        <f aca="false">IFERROR(__xludf.dummyfunction("""COMPUTED_VALUE"""),"Stores Executive-HFN")</f>
        <v>Stores Executive-HFN</v>
      </c>
      <c r="D142" s="2" t="str">
        <f aca="false">IFERROR(__xludf.dummyfunction("""COMPUTED_VALUE"""),"Kanha")</f>
        <v>Kanha</v>
      </c>
      <c r="E142" s="16" t="n">
        <f aca="false">IFERROR(__xludf.dummyfunction("""COMPUTED_VALUE"""),43672)</f>
        <v>43672</v>
      </c>
      <c r="F142" s="9" t="n">
        <f aca="false">IFERROR(__xludf.dummyfunction("""COMPUTED_VALUE"""),12000)</f>
        <v>12000</v>
      </c>
      <c r="G142" s="2" t="n">
        <f aca="false">IFERROR(__xludf.dummyfunction("""COMPUTED_VALUE"""),30)</f>
        <v>30</v>
      </c>
      <c r="H142" s="2" t="n">
        <f aca="false">IFERROR(__xludf.dummyfunction("""COMPUTED_VALUE"""),30)</f>
        <v>30</v>
      </c>
      <c r="I142" s="9" t="n">
        <f aca="false">IFERROR(__xludf.dummyfunction("""COMPUTED_VALUE"""),144000)</f>
        <v>144000</v>
      </c>
      <c r="J142" s="9" t="n">
        <f aca="false">IFERROR(__xludf.dummyfunction("""COMPUTED_VALUE"""),55)</f>
        <v>55</v>
      </c>
      <c r="K142" s="9"/>
      <c r="L142" s="9" t="n">
        <f aca="false">IFERROR(__xludf.dummyfunction("""COMPUTED_VALUE"""),0)</f>
        <v>0</v>
      </c>
      <c r="M142" s="9"/>
    </row>
    <row r="143" customFormat="false" ht="15.75" hidden="false" customHeight="false" outlineLevel="0" collapsed="false">
      <c r="A143" s="2" t="str">
        <f aca="false">IFERROR(__xludf.dummyfunction("""COMPUTED_VALUE"""),"SHKJ/KAN/1374")</f>
        <v>SHKJ/KAN/1374</v>
      </c>
      <c r="B143" s="2" t="str">
        <f aca="false">IFERROR(__xludf.dummyfunction("""COMPUTED_VALUE"""),"Tinnavalli Amarendranath")</f>
        <v>Tinnavalli Amarendranath</v>
      </c>
      <c r="C143" s="2" t="str">
        <f aca="false">IFERROR(__xludf.dummyfunction("""COMPUTED_VALUE"""),"Essential Oils")</f>
        <v>Essential Oils</v>
      </c>
      <c r="D143" s="2" t="str">
        <f aca="false">IFERROR(__xludf.dummyfunction("""COMPUTED_VALUE"""),"Kanha")</f>
        <v>Kanha</v>
      </c>
      <c r="E143" s="16" t="n">
        <f aca="false">IFERROR(__xludf.dummyfunction("""COMPUTED_VALUE"""),43836)</f>
        <v>43836</v>
      </c>
      <c r="F143" s="9" t="n">
        <f aca="false">IFERROR(__xludf.dummyfunction("""COMPUTED_VALUE"""),12000)</f>
        <v>12000</v>
      </c>
      <c r="G143" s="2" t="n">
        <f aca="false">IFERROR(__xludf.dummyfunction("""COMPUTED_VALUE"""),30)</f>
        <v>30</v>
      </c>
      <c r="H143" s="2" t="n">
        <f aca="false">IFERROR(__xludf.dummyfunction("""COMPUTED_VALUE"""),30)</f>
        <v>30</v>
      </c>
      <c r="I143" s="9" t="n">
        <f aca="false">IFERROR(__xludf.dummyfunction("""COMPUTED_VALUE"""),144000)</f>
        <v>144000</v>
      </c>
      <c r="J143" s="9" t="n">
        <f aca="false">IFERROR(__xludf.dummyfunction("""COMPUTED_VALUE"""),294)</f>
        <v>294</v>
      </c>
      <c r="K143" s="9"/>
      <c r="L143" s="9" t="n">
        <f aca="false">IFERROR(__xludf.dummyfunction("""COMPUTED_VALUE"""),0)</f>
        <v>0</v>
      </c>
      <c r="M143" s="9"/>
    </row>
    <row r="144" customFormat="false" ht="15.75" hidden="false" customHeight="false" outlineLevel="0" collapsed="false">
      <c r="A144" s="2" t="str">
        <f aca="false">IFERROR(__xludf.dummyfunction("""COMPUTED_VALUE"""),"SHKJ/KAN/1373")</f>
        <v>SHKJ/KAN/1373</v>
      </c>
      <c r="B144" s="2" t="str">
        <f aca="false">IFERROR(__xludf.dummyfunction("""COMPUTED_VALUE"""),"Sundararajan")</f>
        <v>Sundararajan</v>
      </c>
      <c r="C144" s="2" t="str">
        <f aca="false">IFERROR(__xludf.dummyfunction("""COMPUTED_VALUE"""),"Essential Oils")</f>
        <v>Essential Oils</v>
      </c>
      <c r="D144" s="2" t="str">
        <f aca="false">IFERROR(__xludf.dummyfunction("""COMPUTED_VALUE"""),"Kanha")</f>
        <v>Kanha</v>
      </c>
      <c r="E144" s="16" t="n">
        <f aca="false">IFERROR(__xludf.dummyfunction("""COMPUTED_VALUE"""),43826)</f>
        <v>43826</v>
      </c>
      <c r="F144" s="9" t="n">
        <f aca="false">IFERROR(__xludf.dummyfunction("""COMPUTED_VALUE"""),30000)</f>
        <v>30000</v>
      </c>
      <c r="G144" s="2" t="n">
        <f aca="false">IFERROR(__xludf.dummyfunction("""COMPUTED_VALUE"""),30)</f>
        <v>30</v>
      </c>
      <c r="H144" s="2" t="n">
        <f aca="false">IFERROR(__xludf.dummyfunction("""COMPUTED_VALUE"""),30)</f>
        <v>30</v>
      </c>
      <c r="I144" s="9" t="n">
        <f aca="false">IFERROR(__xludf.dummyfunction("""COMPUTED_VALUE"""),360000)</f>
        <v>360000</v>
      </c>
      <c r="J144" s="9" t="n">
        <f aca="false">IFERROR(__xludf.dummyfunction("""COMPUTED_VALUE"""),239)</f>
        <v>239</v>
      </c>
      <c r="K144" s="9"/>
      <c r="L144" s="9" t="n">
        <f aca="false">IFERROR(__xludf.dummyfunction("""COMPUTED_VALUE"""),0)</f>
        <v>0</v>
      </c>
      <c r="M144" s="9"/>
    </row>
    <row r="145" customFormat="false" ht="15.75" hidden="false" customHeight="false" outlineLevel="0" collapsed="false">
      <c r="A145" s="2" t="str">
        <f aca="false">IFERROR(__xludf.dummyfunction("""COMPUTED_VALUE"""),"SHKJ/KAN/1394")</f>
        <v>SHKJ/KAN/1394</v>
      </c>
      <c r="B145" s="2" t="str">
        <f aca="false">IFERROR(__xludf.dummyfunction("""COMPUTED_VALUE"""),"Doneparthy Priyansh")</f>
        <v>Doneparthy Priyansh</v>
      </c>
      <c r="C145" s="2" t="str">
        <f aca="false">IFERROR(__xludf.dummyfunction("""COMPUTED_VALUE"""),"Accounts")</f>
        <v>Accounts</v>
      </c>
      <c r="D145" s="2" t="str">
        <f aca="false">IFERROR(__xludf.dummyfunction("""COMPUTED_VALUE"""),"Kanha")</f>
        <v>Kanha</v>
      </c>
      <c r="E145" s="16" t="n">
        <f aca="false">IFERROR(__xludf.dummyfunction("""COMPUTED_VALUE"""),43881)</f>
        <v>43881</v>
      </c>
      <c r="F145" s="9" t="n">
        <f aca="false">IFERROR(__xludf.dummyfunction("""COMPUTED_VALUE"""),20000)</f>
        <v>20000</v>
      </c>
      <c r="G145" s="2" t="n">
        <f aca="false">IFERROR(__xludf.dummyfunction("""COMPUTED_VALUE"""),30)</f>
        <v>30</v>
      </c>
      <c r="H145" s="2" t="n">
        <f aca="false">IFERROR(__xludf.dummyfunction("""COMPUTED_VALUE"""),30)</f>
        <v>30</v>
      </c>
      <c r="I145" s="9" t="n">
        <f aca="false">IFERROR(__xludf.dummyfunction("""COMPUTED_VALUE"""),240000)</f>
        <v>240000</v>
      </c>
      <c r="J145" s="9" t="n">
        <f aca="false">IFERROR(__xludf.dummyfunction("""COMPUTED_VALUE"""),95)</f>
        <v>95</v>
      </c>
      <c r="K145" s="9"/>
      <c r="L145" s="9" t="n">
        <f aca="false">IFERROR(__xludf.dummyfunction("""COMPUTED_VALUE"""),0)</f>
        <v>0</v>
      </c>
      <c r="M145" s="9"/>
    </row>
    <row r="146" customFormat="false" ht="15.75" hidden="false" customHeight="false" outlineLevel="0" collapsed="false">
      <c r="A146" s="2" t="str">
        <f aca="false">IFERROR(__xludf.dummyfunction("""COMPUTED_VALUE"""),"HFI/KAN/1443")</f>
        <v>HFI/KAN/1443</v>
      </c>
      <c r="B146" s="2" t="str">
        <f aca="false">IFERROR(__xludf.dummyfunction("""COMPUTED_VALUE"""),"Sarawesharanand")</f>
        <v>Sarawesharanand</v>
      </c>
      <c r="C146" s="2" t="str">
        <f aca="false">IFERROR(__xludf.dummyfunction("""COMPUTED_VALUE"""),"HFN Life")</f>
        <v>HFN Life</v>
      </c>
      <c r="D146" s="2" t="str">
        <f aca="false">IFERROR(__xludf.dummyfunction("""COMPUTED_VALUE"""),"Kanha")</f>
        <v>Kanha</v>
      </c>
      <c r="E146" s="16" t="n">
        <f aca="false">IFERROR(__xludf.dummyfunction("""COMPUTED_VALUE"""),43661)</f>
        <v>43661</v>
      </c>
      <c r="F146" s="9" t="n">
        <f aca="false">IFERROR(__xludf.dummyfunction("""COMPUTED_VALUE"""),25000)</f>
        <v>25000</v>
      </c>
      <c r="G146" s="2" t="n">
        <f aca="false">IFERROR(__xludf.dummyfunction("""COMPUTED_VALUE"""),30)</f>
        <v>30</v>
      </c>
      <c r="H146" s="2" t="n">
        <f aca="false">IFERROR(__xludf.dummyfunction("""COMPUTED_VALUE"""),30)</f>
        <v>30</v>
      </c>
      <c r="I146" s="9" t="n">
        <f aca="false">IFERROR(__xludf.dummyfunction("""COMPUTED_VALUE"""),300000)</f>
        <v>300000</v>
      </c>
      <c r="J146" s="9" t="n">
        <f aca="false">IFERROR(__xludf.dummyfunction("""COMPUTED_VALUE"""),100)</f>
        <v>100</v>
      </c>
      <c r="K146" s="9"/>
      <c r="L146" s="9" t="n">
        <f aca="false">IFERROR(__xludf.dummyfunction("""COMPUTED_VALUE"""),0)</f>
        <v>0</v>
      </c>
      <c r="M146" s="9"/>
    </row>
    <row r="147" customFormat="false" ht="15.75" hidden="false" customHeight="false" outlineLevel="0" collapsed="false">
      <c r="A147" s="2" t="str">
        <f aca="false">IFERROR(__xludf.dummyfunction("""COMPUTED_VALUE"""),"HFI/KAN/1444")</f>
        <v>HFI/KAN/1444</v>
      </c>
      <c r="B147" s="2" t="str">
        <f aca="false">IFERROR(__xludf.dummyfunction("""COMPUTED_VALUE"""),"Dupati Ranga Sai Theja")</f>
        <v>Dupati Ranga Sai Theja</v>
      </c>
      <c r="C147" s="2" t="str">
        <f aca="false">IFERROR(__xludf.dummyfunction("""COMPUTED_VALUE"""),"HFN Life")</f>
        <v>HFN Life</v>
      </c>
      <c r="D147" s="2" t="str">
        <f aca="false">IFERROR(__xludf.dummyfunction("""COMPUTED_VALUE"""),"Kanha")</f>
        <v>Kanha</v>
      </c>
      <c r="E147" s="16" t="n">
        <f aca="false">IFERROR(__xludf.dummyfunction("""COMPUTED_VALUE"""),43661)</f>
        <v>43661</v>
      </c>
      <c r="F147" s="9" t="n">
        <f aca="false">IFERROR(__xludf.dummyfunction("""COMPUTED_VALUE"""),25000)</f>
        <v>25000</v>
      </c>
      <c r="G147" s="2" t="n">
        <f aca="false">IFERROR(__xludf.dummyfunction("""COMPUTED_VALUE"""),30)</f>
        <v>30</v>
      </c>
      <c r="H147" s="2" t="n">
        <f aca="false">IFERROR(__xludf.dummyfunction("""COMPUTED_VALUE"""),30)</f>
        <v>30</v>
      </c>
      <c r="I147" s="9" t="n">
        <f aca="false">IFERROR(__xludf.dummyfunction("""COMPUTED_VALUE"""),300000)</f>
        <v>300000</v>
      </c>
      <c r="J147" s="9" t="n">
        <f aca="false">IFERROR(__xludf.dummyfunction("""COMPUTED_VALUE"""),100)</f>
        <v>100</v>
      </c>
      <c r="K147" s="9"/>
      <c r="L147" s="9" t="n">
        <f aca="false">IFERROR(__xludf.dummyfunction("""COMPUTED_VALUE"""),0)</f>
        <v>0</v>
      </c>
      <c r="M147" s="9"/>
    </row>
    <row r="148" customFormat="false" ht="15.75" hidden="false" customHeight="false" outlineLevel="0" collapsed="false">
      <c r="A148" s="2" t="str">
        <f aca="false">IFERROR(__xludf.dummyfunction("""COMPUTED_VALUE"""),"HET/BMA/0752")</f>
        <v>HET/BMA/0752</v>
      </c>
      <c r="B148" s="2" t="str">
        <f aca="false">IFERROR(__xludf.dummyfunction("""COMPUTED_VALUE"""),"Somireddy Praveen Reddy")</f>
        <v>Somireddy Praveen Reddy</v>
      </c>
      <c r="C148" s="2" t="str">
        <f aca="false">IFERROR(__xludf.dummyfunction("""COMPUTED_VALUE"""),"Brighter Mind")</f>
        <v>Brighter Mind</v>
      </c>
      <c r="D148" s="2" t="str">
        <f aca="false">IFERROR(__xludf.dummyfunction("""COMPUTED_VALUE"""),"Kanha")</f>
        <v>Kanha</v>
      </c>
      <c r="E148" s="16" t="n">
        <f aca="false">IFERROR(__xludf.dummyfunction("""COMPUTED_VALUE"""),43282)</f>
        <v>43282</v>
      </c>
      <c r="F148" s="9" t="n">
        <f aca="false">IFERROR(__xludf.dummyfunction("""COMPUTED_VALUE"""),25000)</f>
        <v>25000</v>
      </c>
      <c r="G148" s="2" t="n">
        <f aca="false">IFERROR(__xludf.dummyfunction("""COMPUTED_VALUE"""),30)</f>
        <v>30</v>
      </c>
      <c r="H148" s="2" t="n">
        <f aca="false">IFERROR(__xludf.dummyfunction("""COMPUTED_VALUE"""),30)</f>
        <v>30</v>
      </c>
      <c r="I148" s="9" t="n">
        <f aca="false">IFERROR(__xludf.dummyfunction("""COMPUTED_VALUE"""),300000)</f>
        <v>300000</v>
      </c>
      <c r="J148" s="9" t="n">
        <f aca="false">IFERROR(__xludf.dummyfunction("""COMPUTED_VALUE"""),206)</f>
        <v>206</v>
      </c>
      <c r="K148" s="9"/>
      <c r="L148" s="9" t="n">
        <f aca="false">IFERROR(__xludf.dummyfunction("""COMPUTED_VALUE"""),0)</f>
        <v>0</v>
      </c>
      <c r="M148" s="9"/>
    </row>
    <row r="149" customFormat="false" ht="15.75" hidden="false" customHeight="false" outlineLevel="0" collapsed="false">
      <c r="A149" s="2" t="str">
        <f aca="false">IFERROR(__xludf.dummyfunction("""COMPUTED_VALUE"""),"HET/BMA/0753")</f>
        <v>HET/BMA/0753</v>
      </c>
      <c r="B149" s="2" t="str">
        <f aca="false">IFERROR(__xludf.dummyfunction("""COMPUTED_VALUE"""),"Kadiveti Sudeep Reddy")</f>
        <v>Kadiveti Sudeep Reddy</v>
      </c>
      <c r="C149" s="2" t="str">
        <f aca="false">IFERROR(__xludf.dummyfunction("""COMPUTED_VALUE"""),"Brighter Mind")</f>
        <v>Brighter Mind</v>
      </c>
      <c r="D149" s="2" t="str">
        <f aca="false">IFERROR(__xludf.dummyfunction("""COMPUTED_VALUE"""),"Kanha")</f>
        <v>Kanha</v>
      </c>
      <c r="E149" s="16" t="n">
        <f aca="false">IFERROR(__xludf.dummyfunction("""COMPUTED_VALUE"""),43282)</f>
        <v>43282</v>
      </c>
      <c r="F149" s="9" t="n">
        <f aca="false">IFERROR(__xludf.dummyfunction("""COMPUTED_VALUE"""),30000)</f>
        <v>30000</v>
      </c>
      <c r="G149" s="2" t="n">
        <f aca="false">IFERROR(__xludf.dummyfunction("""COMPUTED_VALUE"""),30)</f>
        <v>30</v>
      </c>
      <c r="H149" s="2" t="n">
        <f aca="false">IFERROR(__xludf.dummyfunction("""COMPUTED_VALUE"""),30)</f>
        <v>30</v>
      </c>
      <c r="I149" s="9" t="n">
        <f aca="false">IFERROR(__xludf.dummyfunction("""COMPUTED_VALUE"""),360000)</f>
        <v>360000</v>
      </c>
      <c r="J149" s="9" t="n">
        <f aca="false">IFERROR(__xludf.dummyfunction("""COMPUTED_VALUE"""),354)</f>
        <v>354</v>
      </c>
      <c r="K149" s="9"/>
      <c r="L149" s="9" t="n">
        <f aca="false">IFERROR(__xludf.dummyfunction("""COMPUTED_VALUE"""),0)</f>
        <v>0</v>
      </c>
      <c r="M149" s="9"/>
    </row>
    <row r="150" customFormat="false" ht="15.75" hidden="false" customHeight="false" outlineLevel="0" collapsed="false">
      <c r="A150" s="2" t="str">
        <f aca="false">IFERROR(__xludf.dummyfunction("""COMPUTED_VALUE"""),"HET/BMA/0909")</f>
        <v>HET/BMA/0909</v>
      </c>
      <c r="B150" s="2" t="str">
        <f aca="false">IFERROR(__xludf.dummyfunction("""COMPUTED_VALUE"""),"Bhushan Keshav Bhukte")</f>
        <v>Bhushan Keshav Bhukte</v>
      </c>
      <c r="C150" s="2" t="str">
        <f aca="false">IFERROR(__xludf.dummyfunction("""COMPUTED_VALUE"""),"Wellness &amp; Yoga")</f>
        <v>Wellness &amp; Yoga</v>
      </c>
      <c r="D150" s="2" t="str">
        <f aca="false">IFERROR(__xludf.dummyfunction("""COMPUTED_VALUE"""),"Kanha")</f>
        <v>Kanha</v>
      </c>
      <c r="E150" s="16" t="n">
        <f aca="false">IFERROR(__xludf.dummyfunction("""COMPUTED_VALUE"""),43465)</f>
        <v>43465</v>
      </c>
      <c r="F150" s="9" t="n">
        <f aca="false">IFERROR(__xludf.dummyfunction("""COMPUTED_VALUE"""),30000)</f>
        <v>30000</v>
      </c>
      <c r="G150" s="2" t="n">
        <f aca="false">IFERROR(__xludf.dummyfunction("""COMPUTED_VALUE"""),30)</f>
        <v>30</v>
      </c>
      <c r="H150" s="2" t="n">
        <f aca="false">IFERROR(__xludf.dummyfunction("""COMPUTED_VALUE"""),30)</f>
        <v>30</v>
      </c>
      <c r="I150" s="9" t="n">
        <f aca="false">IFERROR(__xludf.dummyfunction("""COMPUTED_VALUE"""),360000)</f>
        <v>360000</v>
      </c>
      <c r="J150" s="9" t="n">
        <f aca="false">IFERROR(__xludf.dummyfunction("""COMPUTED_VALUE"""),103)</f>
        <v>103</v>
      </c>
      <c r="K150" s="9"/>
      <c r="L150" s="9" t="n">
        <f aca="false">IFERROR(__xludf.dummyfunction("""COMPUTED_VALUE"""),0)</f>
        <v>0</v>
      </c>
      <c r="M150" s="9"/>
    </row>
    <row r="151" customFormat="false" ht="15.75" hidden="false" customHeight="false" outlineLevel="0" collapsed="false">
      <c r="A151" s="2" t="str">
        <f aca="false">IFERROR(__xludf.dummyfunction("""COMPUTED_VALUE"""),"HET/KAN/1107")</f>
        <v>HET/KAN/1107</v>
      </c>
      <c r="B151" s="2" t="str">
        <f aca="false">IFERROR(__xludf.dummyfunction("""COMPUTED_VALUE"""),"Pavani Pithani ")</f>
        <v>Pavani Pithani </v>
      </c>
      <c r="C151" s="2" t="str">
        <f aca="false">IFERROR(__xludf.dummyfunction("""COMPUTED_VALUE"""),"Brighter Mind")</f>
        <v>Brighter Mind</v>
      </c>
      <c r="D151" s="2" t="str">
        <f aca="false">IFERROR(__xludf.dummyfunction("""COMPUTED_VALUE"""),"Kanha")</f>
        <v>Kanha</v>
      </c>
      <c r="E151" s="16" t="n">
        <f aca="false">IFERROR(__xludf.dummyfunction("""COMPUTED_VALUE"""),43564)</f>
        <v>43564</v>
      </c>
      <c r="F151" s="9" t="n">
        <f aca="false">IFERROR(__xludf.dummyfunction("""COMPUTED_VALUE"""),20000)</f>
        <v>20000</v>
      </c>
      <c r="G151" s="2" t="n">
        <f aca="false">IFERROR(__xludf.dummyfunction("""COMPUTED_VALUE"""),30)</f>
        <v>30</v>
      </c>
      <c r="H151" s="2" t="n">
        <f aca="false">IFERROR(__xludf.dummyfunction("""COMPUTED_VALUE"""),30)</f>
        <v>30</v>
      </c>
      <c r="I151" s="9" t="n">
        <f aca="false">IFERROR(__xludf.dummyfunction("""COMPUTED_VALUE"""),240000)</f>
        <v>240000</v>
      </c>
      <c r="J151" s="9" t="n">
        <f aca="false">IFERROR(__xludf.dummyfunction("""COMPUTED_VALUE"""),0)</f>
        <v>0</v>
      </c>
      <c r="K151" s="9"/>
      <c r="L151" s="9" t="n">
        <f aca="false">IFERROR(__xludf.dummyfunction("""COMPUTED_VALUE"""),0)</f>
        <v>0</v>
      </c>
      <c r="M151" s="9"/>
    </row>
    <row r="152" customFormat="false" ht="15.75" hidden="false" customHeight="false" outlineLevel="0" collapsed="false">
      <c r="A152" s="2" t="str">
        <f aca="false">IFERROR(__xludf.dummyfunction("""COMPUTED_VALUE"""),"HET/BMA/0505")</f>
        <v>HET/BMA/0505</v>
      </c>
      <c r="B152" s="2" t="str">
        <f aca="false">IFERROR(__xludf.dummyfunction("""COMPUTED_VALUE"""),"Soumya")</f>
        <v>Soumya</v>
      </c>
      <c r="C152" s="2" t="str">
        <f aca="false">IFERROR(__xludf.dummyfunction("""COMPUTED_VALUE"""),"Wellness &amp; Yoga")</f>
        <v>Wellness &amp; Yoga</v>
      </c>
      <c r="D152" s="2" t="str">
        <f aca="false">IFERROR(__xludf.dummyfunction("""COMPUTED_VALUE"""),"Manapakkam")</f>
        <v>Manapakkam</v>
      </c>
      <c r="E152" s="16" t="n">
        <f aca="false">IFERROR(__xludf.dummyfunction("""COMPUTED_VALUE"""),43475)</f>
        <v>43475</v>
      </c>
      <c r="F152" s="9" t="n">
        <f aca="false">IFERROR(__xludf.dummyfunction("""COMPUTED_VALUE"""),20000)</f>
        <v>20000</v>
      </c>
      <c r="G152" s="2" t="n">
        <f aca="false">IFERROR(__xludf.dummyfunction("""COMPUTED_VALUE"""),30)</f>
        <v>30</v>
      </c>
      <c r="H152" s="2" t="n">
        <f aca="false">IFERROR(__xludf.dummyfunction("""COMPUTED_VALUE"""),30)</f>
        <v>30</v>
      </c>
      <c r="I152" s="9" t="n">
        <f aca="false">IFERROR(__xludf.dummyfunction("""COMPUTED_VALUE"""),240000)</f>
        <v>240000</v>
      </c>
      <c r="J152" s="9" t="n">
        <f aca="false">IFERROR(__xludf.dummyfunction("""COMPUTED_VALUE"""),107)</f>
        <v>107</v>
      </c>
      <c r="K152" s="9"/>
      <c r="L152" s="9" t="n">
        <f aca="false">IFERROR(__xludf.dummyfunction("""COMPUTED_VALUE"""),0)</f>
        <v>0</v>
      </c>
      <c r="M152" s="9"/>
    </row>
    <row r="153" customFormat="false" ht="15.75" hidden="false" customHeight="false" outlineLevel="0" collapsed="false">
      <c r="A153" s="2" t="str">
        <f aca="false">IFERROR(__xludf.dummyfunction("""COMPUTED_VALUE"""),"HET/KAN/1401")</f>
        <v>HET/KAN/1401</v>
      </c>
      <c r="B153" s="2" t="str">
        <f aca="false">IFERROR(__xludf.dummyfunction("""COMPUTED_VALUE"""),"G. Raghunath Reddy")</f>
        <v>G. Raghunath Reddy</v>
      </c>
      <c r="C153" s="2" t="str">
        <f aca="false">IFERROR(__xludf.dummyfunction("""COMPUTED_VALUE"""),"S Connect")</f>
        <v>S Connect</v>
      </c>
      <c r="D153" s="2" t="str">
        <f aca="false">IFERROR(__xludf.dummyfunction("""COMPUTED_VALUE"""),"AP")</f>
        <v>AP</v>
      </c>
      <c r="E153" s="16" t="n">
        <f aca="false">IFERROR(__xludf.dummyfunction("""COMPUTED_VALUE"""),43647)</f>
        <v>43647</v>
      </c>
      <c r="F153" s="9" t="n">
        <f aca="false">IFERROR(__xludf.dummyfunction("""COMPUTED_VALUE"""),20000)</f>
        <v>20000</v>
      </c>
      <c r="G153" s="2" t="n">
        <f aca="false">IFERROR(__xludf.dummyfunction("""COMPUTED_VALUE"""),30)</f>
        <v>30</v>
      </c>
      <c r="H153" s="2" t="n">
        <f aca="false">IFERROR(__xludf.dummyfunction("""COMPUTED_VALUE"""),30)</f>
        <v>30</v>
      </c>
      <c r="I153" s="9" t="n">
        <f aca="false">IFERROR(__xludf.dummyfunction("""COMPUTED_VALUE"""),240000)</f>
        <v>240000</v>
      </c>
      <c r="J153" s="9" t="n">
        <f aca="false">IFERROR(__xludf.dummyfunction("""COMPUTED_VALUE"""),334)</f>
        <v>334</v>
      </c>
      <c r="K153" s="9"/>
      <c r="L153" s="9" t="n">
        <f aca="false">IFERROR(__xludf.dummyfunction("""COMPUTED_VALUE"""),0)</f>
        <v>0</v>
      </c>
      <c r="M153" s="9"/>
    </row>
    <row r="154" customFormat="false" ht="15.75" hidden="false" customHeight="false" outlineLevel="0" collapsed="false">
      <c r="A154" s="2" t="str">
        <f aca="false">IFERROR(__xludf.dummyfunction("""COMPUTED_VALUE"""),"HET/KAN/1400")</f>
        <v>HET/KAN/1400</v>
      </c>
      <c r="B154" s="2" t="str">
        <f aca="false">IFERROR(__xludf.dummyfunction("""COMPUTED_VALUE"""),"K. Pakkirappa")</f>
        <v>K. Pakkirappa</v>
      </c>
      <c r="C154" s="2" t="str">
        <f aca="false">IFERROR(__xludf.dummyfunction("""COMPUTED_VALUE"""),"S Connect")</f>
        <v>S Connect</v>
      </c>
      <c r="D154" s="2" t="str">
        <f aca="false">IFERROR(__xludf.dummyfunction("""COMPUTED_VALUE"""),"AP")</f>
        <v>AP</v>
      </c>
      <c r="E154" s="16" t="n">
        <f aca="false">IFERROR(__xludf.dummyfunction("""COMPUTED_VALUE"""),43647)</f>
        <v>43647</v>
      </c>
      <c r="F154" s="9" t="n">
        <f aca="false">IFERROR(__xludf.dummyfunction("""COMPUTED_VALUE"""),20000)</f>
        <v>20000</v>
      </c>
      <c r="G154" s="2" t="n">
        <f aca="false">IFERROR(__xludf.dummyfunction("""COMPUTED_VALUE"""),30)</f>
        <v>30</v>
      </c>
      <c r="H154" s="2" t="n">
        <f aca="false">IFERROR(__xludf.dummyfunction("""COMPUTED_VALUE"""),30)</f>
        <v>30</v>
      </c>
      <c r="I154" s="9" t="n">
        <f aca="false">IFERROR(__xludf.dummyfunction("""COMPUTED_VALUE"""),240000)</f>
        <v>240000</v>
      </c>
      <c r="J154" s="9" t="n">
        <f aca="false">IFERROR(__xludf.dummyfunction("""COMPUTED_VALUE"""),233)</f>
        <v>233</v>
      </c>
      <c r="K154" s="9"/>
      <c r="L154" s="9" t="n">
        <f aca="false">IFERROR(__xludf.dummyfunction("""COMPUTED_VALUE"""),0)</f>
        <v>0</v>
      </c>
      <c r="M154" s="9"/>
    </row>
    <row r="155" customFormat="false" ht="15.75" hidden="false" customHeight="false" outlineLevel="0" collapsed="false">
      <c r="A155" s="2" t="str">
        <f aca="false">IFERROR(__xludf.dummyfunction("""COMPUTED_VALUE"""),"HET/KAN/1402")</f>
        <v>HET/KAN/1402</v>
      </c>
      <c r="B155" s="2" t="str">
        <f aca="false">IFERROR(__xludf.dummyfunction("""COMPUTED_VALUE"""),"K. Rajesh Babu")</f>
        <v>K. Rajesh Babu</v>
      </c>
      <c r="C155" s="2" t="str">
        <f aca="false">IFERROR(__xludf.dummyfunction("""COMPUTED_VALUE"""),"S Connect")</f>
        <v>S Connect</v>
      </c>
      <c r="D155" s="2" t="str">
        <f aca="false">IFERROR(__xludf.dummyfunction("""COMPUTED_VALUE"""),"AP")</f>
        <v>AP</v>
      </c>
      <c r="E155" s="16" t="n">
        <f aca="false">IFERROR(__xludf.dummyfunction("""COMPUTED_VALUE"""),43647)</f>
        <v>43647</v>
      </c>
      <c r="F155" s="9" t="n">
        <f aca="false">IFERROR(__xludf.dummyfunction("""COMPUTED_VALUE"""),20000)</f>
        <v>20000</v>
      </c>
      <c r="G155" s="2" t="n">
        <f aca="false">IFERROR(__xludf.dummyfunction("""COMPUTED_VALUE"""),30)</f>
        <v>30</v>
      </c>
      <c r="H155" s="2" t="n">
        <f aca="false">IFERROR(__xludf.dummyfunction("""COMPUTED_VALUE"""),30)</f>
        <v>30</v>
      </c>
      <c r="I155" s="9" t="n">
        <f aca="false">IFERROR(__xludf.dummyfunction("""COMPUTED_VALUE"""),240000)</f>
        <v>240000</v>
      </c>
      <c r="J155" s="9" t="n">
        <f aca="false">IFERROR(__xludf.dummyfunction("""COMPUTED_VALUE"""),275)</f>
        <v>275</v>
      </c>
      <c r="K155" s="9"/>
      <c r="L155" s="9" t="n">
        <f aca="false">IFERROR(__xludf.dummyfunction("""COMPUTED_VALUE"""),0)</f>
        <v>0</v>
      </c>
      <c r="M155" s="9"/>
    </row>
    <row r="156" customFormat="false" ht="15.75" hidden="false" customHeight="false" outlineLevel="0" collapsed="false">
      <c r="A156" s="2" t="str">
        <f aca="false">IFERROR(__xludf.dummyfunction("""COMPUTED_VALUE"""),"HET/KAN/1418")</f>
        <v>HET/KAN/1418</v>
      </c>
      <c r="B156" s="2" t="str">
        <f aca="false">IFERROR(__xludf.dummyfunction("""COMPUTED_VALUE"""),"M.Penchala Narasaiah")</f>
        <v>M.Penchala Narasaiah</v>
      </c>
      <c r="C156" s="2" t="str">
        <f aca="false">IFERROR(__xludf.dummyfunction("""COMPUTED_VALUE"""),"S Connect")</f>
        <v>S Connect</v>
      </c>
      <c r="D156" s="2" t="str">
        <f aca="false">IFERROR(__xludf.dummyfunction("""COMPUTED_VALUE"""),"AP")</f>
        <v>AP</v>
      </c>
      <c r="E156" s="16" t="n">
        <f aca="false">IFERROR(__xludf.dummyfunction("""COMPUTED_VALUE"""),43647)</f>
        <v>43647</v>
      </c>
      <c r="F156" s="9" t="n">
        <f aca="false">IFERROR(__xludf.dummyfunction("""COMPUTED_VALUE"""),20000)</f>
        <v>20000</v>
      </c>
      <c r="G156" s="2" t="n">
        <f aca="false">IFERROR(__xludf.dummyfunction("""COMPUTED_VALUE"""),30)</f>
        <v>30</v>
      </c>
      <c r="H156" s="2" t="n">
        <f aca="false">IFERROR(__xludf.dummyfunction("""COMPUTED_VALUE"""),30)</f>
        <v>30</v>
      </c>
      <c r="I156" s="9" t="n">
        <f aca="false">IFERROR(__xludf.dummyfunction("""COMPUTED_VALUE"""),240000)</f>
        <v>240000</v>
      </c>
      <c r="J156" s="9" t="n">
        <f aca="false">IFERROR(__xludf.dummyfunction("""COMPUTED_VALUE"""),266)</f>
        <v>266</v>
      </c>
      <c r="K156" s="9"/>
      <c r="L156" s="9" t="n">
        <f aca="false">IFERROR(__xludf.dummyfunction("""COMPUTED_VALUE"""),0)</f>
        <v>0</v>
      </c>
      <c r="M156" s="9"/>
    </row>
    <row r="157" customFormat="false" ht="15.75" hidden="false" customHeight="false" outlineLevel="0" collapsed="false">
      <c r="A157" s="2" t="str">
        <f aca="false">IFERROR(__xludf.dummyfunction("""COMPUTED_VALUE"""),"HET/KAN/1419")</f>
        <v>HET/KAN/1419</v>
      </c>
      <c r="B157" s="2" t="str">
        <f aca="false">IFERROR(__xludf.dummyfunction("""COMPUTED_VALUE"""),"Gogula Srinivas ")</f>
        <v>Gogula Srinivas </v>
      </c>
      <c r="C157" s="2" t="str">
        <f aca="false">IFERROR(__xludf.dummyfunction("""COMPUTED_VALUE"""),"S Connect")</f>
        <v>S Connect</v>
      </c>
      <c r="D157" s="2" t="str">
        <f aca="false">IFERROR(__xludf.dummyfunction("""COMPUTED_VALUE"""),"AP")</f>
        <v>AP</v>
      </c>
      <c r="E157" s="16" t="n">
        <f aca="false">IFERROR(__xludf.dummyfunction("""COMPUTED_VALUE"""),43647)</f>
        <v>43647</v>
      </c>
      <c r="F157" s="9" t="n">
        <f aca="false">IFERROR(__xludf.dummyfunction("""COMPUTED_VALUE"""),20000)</f>
        <v>20000</v>
      </c>
      <c r="G157" s="2" t="n">
        <f aca="false">IFERROR(__xludf.dummyfunction("""COMPUTED_VALUE"""),30)</f>
        <v>30</v>
      </c>
      <c r="H157" s="2" t="n">
        <f aca="false">IFERROR(__xludf.dummyfunction("""COMPUTED_VALUE"""),30)</f>
        <v>30</v>
      </c>
      <c r="I157" s="9" t="n">
        <f aca="false">IFERROR(__xludf.dummyfunction("""COMPUTED_VALUE"""),240000)</f>
        <v>240000</v>
      </c>
      <c r="J157" s="9" t="n">
        <f aca="false">IFERROR(__xludf.dummyfunction("""COMPUTED_VALUE"""),94)</f>
        <v>94</v>
      </c>
      <c r="K157" s="9"/>
      <c r="L157" s="9" t="n">
        <f aca="false">IFERROR(__xludf.dummyfunction("""COMPUTED_VALUE"""),0)</f>
        <v>0</v>
      </c>
      <c r="M157" s="9"/>
    </row>
    <row r="158" customFormat="false" ht="15.75" hidden="false" customHeight="false" outlineLevel="0" collapsed="false">
      <c r="A158" s="2" t="str">
        <f aca="false">IFERROR(__xludf.dummyfunction("""COMPUTED_VALUE"""),"HET/KAN/1420")</f>
        <v>HET/KAN/1420</v>
      </c>
      <c r="B158" s="2" t="str">
        <f aca="false">IFERROR(__xludf.dummyfunction("""COMPUTED_VALUE"""),"E.N.Venkat Prasad")</f>
        <v>E.N.Venkat Prasad</v>
      </c>
      <c r="C158" s="2" t="str">
        <f aca="false">IFERROR(__xludf.dummyfunction("""COMPUTED_VALUE"""),"S Connect")</f>
        <v>S Connect</v>
      </c>
      <c r="D158" s="2" t="str">
        <f aca="false">IFERROR(__xludf.dummyfunction("""COMPUTED_VALUE"""),"AP")</f>
        <v>AP</v>
      </c>
      <c r="E158" s="16" t="n">
        <f aca="false">IFERROR(__xludf.dummyfunction("""COMPUTED_VALUE"""),43647)</f>
        <v>43647</v>
      </c>
      <c r="F158" s="9" t="n">
        <f aca="false">IFERROR(__xludf.dummyfunction("""COMPUTED_VALUE"""),20000)</f>
        <v>20000</v>
      </c>
      <c r="G158" s="2" t="n">
        <f aca="false">IFERROR(__xludf.dummyfunction("""COMPUTED_VALUE"""),30)</f>
        <v>30</v>
      </c>
      <c r="H158" s="2" t="n">
        <f aca="false">IFERROR(__xludf.dummyfunction("""COMPUTED_VALUE"""),30)</f>
        <v>30</v>
      </c>
      <c r="I158" s="9" t="n">
        <f aca="false">IFERROR(__xludf.dummyfunction("""COMPUTED_VALUE"""),240000)</f>
        <v>240000</v>
      </c>
      <c r="J158" s="9" t="n">
        <f aca="false">IFERROR(__xludf.dummyfunction("""COMPUTED_VALUE"""),440)</f>
        <v>440</v>
      </c>
      <c r="K158" s="9"/>
      <c r="L158" s="9" t="n">
        <f aca="false">IFERROR(__xludf.dummyfunction("""COMPUTED_VALUE"""),0)</f>
        <v>0</v>
      </c>
      <c r="M158" s="9"/>
    </row>
    <row r="159" customFormat="false" ht="15.75" hidden="false" customHeight="false" outlineLevel="0" collapsed="false">
      <c r="A159" s="2" t="str">
        <f aca="false">IFERROR(__xludf.dummyfunction("""COMPUTED_VALUE"""),"HET/KAN/1398")</f>
        <v>HET/KAN/1398</v>
      </c>
      <c r="B159" s="2" t="str">
        <f aca="false">IFERROR(__xludf.dummyfunction("""COMPUTED_VALUE"""),"V.Venkata Ratnam")</f>
        <v>V.Venkata Ratnam</v>
      </c>
      <c r="C159" s="2" t="str">
        <f aca="false">IFERROR(__xludf.dummyfunction("""COMPUTED_VALUE"""),"S Connect")</f>
        <v>S Connect</v>
      </c>
      <c r="D159" s="2" t="str">
        <f aca="false">IFERROR(__xludf.dummyfunction("""COMPUTED_VALUE"""),"AP")</f>
        <v>AP</v>
      </c>
      <c r="E159" s="16" t="n">
        <f aca="false">IFERROR(__xludf.dummyfunction("""COMPUTED_VALUE"""),43647)</f>
        <v>43647</v>
      </c>
      <c r="F159" s="9" t="n">
        <f aca="false">IFERROR(__xludf.dummyfunction("""COMPUTED_VALUE"""),20000)</f>
        <v>20000</v>
      </c>
      <c r="G159" s="2" t="n">
        <f aca="false">IFERROR(__xludf.dummyfunction("""COMPUTED_VALUE"""),30)</f>
        <v>30</v>
      </c>
      <c r="H159" s="2" t="n">
        <f aca="false">IFERROR(__xludf.dummyfunction("""COMPUTED_VALUE"""),30)</f>
        <v>30</v>
      </c>
      <c r="I159" s="9" t="n">
        <f aca="false">IFERROR(__xludf.dummyfunction("""COMPUTED_VALUE"""),240000)</f>
        <v>240000</v>
      </c>
      <c r="J159" s="9" t="n">
        <f aca="false">IFERROR(__xludf.dummyfunction("""COMPUTED_VALUE"""),504)</f>
        <v>504</v>
      </c>
      <c r="K159" s="9"/>
      <c r="L159" s="9" t="n">
        <f aca="false">IFERROR(__xludf.dummyfunction("""COMPUTED_VALUE"""),0)</f>
        <v>0</v>
      </c>
      <c r="M159" s="9"/>
    </row>
    <row r="160" customFormat="false" ht="15.75" hidden="false" customHeight="false" outlineLevel="0" collapsed="false">
      <c r="A160" s="2" t="str">
        <f aca="false">IFERROR(__xludf.dummyfunction("""COMPUTED_VALUE"""),"HET/KAN/1403")</f>
        <v>HET/KAN/1403</v>
      </c>
      <c r="B160" s="2" t="str">
        <f aca="false">IFERROR(__xludf.dummyfunction("""COMPUTED_VALUE"""),"Kula Sekhar Pulluru  ")</f>
        <v>Kula Sekhar Pulluru  </v>
      </c>
      <c r="C160" s="2" t="str">
        <f aca="false">IFERROR(__xludf.dummyfunction("""COMPUTED_VALUE"""),"S Connect")</f>
        <v>S Connect</v>
      </c>
      <c r="D160" s="2" t="str">
        <f aca="false">IFERROR(__xludf.dummyfunction("""COMPUTED_VALUE"""),"AP")</f>
        <v>AP</v>
      </c>
      <c r="E160" s="16" t="n">
        <f aca="false">IFERROR(__xludf.dummyfunction("""COMPUTED_VALUE"""),43647)</f>
        <v>43647</v>
      </c>
      <c r="F160" s="9" t="n">
        <f aca="false">IFERROR(__xludf.dummyfunction("""COMPUTED_VALUE"""),20000)</f>
        <v>20000</v>
      </c>
      <c r="G160" s="2" t="n">
        <f aca="false">IFERROR(__xludf.dummyfunction("""COMPUTED_VALUE"""),30)</f>
        <v>30</v>
      </c>
      <c r="H160" s="2" t="n">
        <f aca="false">IFERROR(__xludf.dummyfunction("""COMPUTED_VALUE"""),30)</f>
        <v>30</v>
      </c>
      <c r="I160" s="9" t="n">
        <f aca="false">IFERROR(__xludf.dummyfunction("""COMPUTED_VALUE"""),240000)</f>
        <v>240000</v>
      </c>
      <c r="J160" s="9" t="n">
        <f aca="false">IFERROR(__xludf.dummyfunction("""COMPUTED_VALUE"""),259)</f>
        <v>259</v>
      </c>
      <c r="K160" s="9"/>
      <c r="L160" s="9" t="n">
        <f aca="false">IFERROR(__xludf.dummyfunction("""COMPUTED_VALUE"""),0)</f>
        <v>0</v>
      </c>
      <c r="M160" s="9"/>
    </row>
    <row r="161" customFormat="false" ht="15.75" hidden="false" customHeight="false" outlineLevel="0" collapsed="false">
      <c r="A161" s="2" t="str">
        <f aca="false">IFERROR(__xludf.dummyfunction("""COMPUTED_VALUE"""),"HET/KAN/1421")</f>
        <v>HET/KAN/1421</v>
      </c>
      <c r="B161" s="2" t="str">
        <f aca="false">IFERROR(__xludf.dummyfunction("""COMPUTED_VALUE"""),"Veera Bhadra Charyulu")</f>
        <v>Veera Bhadra Charyulu</v>
      </c>
      <c r="C161" s="2" t="str">
        <f aca="false">IFERROR(__xludf.dummyfunction("""COMPUTED_VALUE"""),"S Connect")</f>
        <v>S Connect</v>
      </c>
      <c r="D161" s="2" t="str">
        <f aca="false">IFERROR(__xludf.dummyfunction("""COMPUTED_VALUE"""),"AP")</f>
        <v>AP</v>
      </c>
      <c r="E161" s="16" t="n">
        <f aca="false">IFERROR(__xludf.dummyfunction("""COMPUTED_VALUE"""),43647)</f>
        <v>43647</v>
      </c>
      <c r="F161" s="9" t="n">
        <f aca="false">IFERROR(__xludf.dummyfunction("""COMPUTED_VALUE"""),20000)</f>
        <v>20000</v>
      </c>
      <c r="G161" s="2" t="n">
        <f aca="false">IFERROR(__xludf.dummyfunction("""COMPUTED_VALUE"""),30)</f>
        <v>30</v>
      </c>
      <c r="H161" s="2" t="n">
        <f aca="false">IFERROR(__xludf.dummyfunction("""COMPUTED_VALUE"""),30)</f>
        <v>30</v>
      </c>
      <c r="I161" s="9" t="n">
        <f aca="false">IFERROR(__xludf.dummyfunction("""COMPUTED_VALUE"""),240000)</f>
        <v>240000</v>
      </c>
      <c r="J161" s="9" t="n">
        <f aca="false">IFERROR(__xludf.dummyfunction("""COMPUTED_VALUE"""),78)</f>
        <v>78</v>
      </c>
      <c r="K161" s="9"/>
      <c r="L161" s="9" t="n">
        <f aca="false">IFERROR(__xludf.dummyfunction("""COMPUTED_VALUE"""),0)</f>
        <v>0</v>
      </c>
      <c r="M161" s="9"/>
    </row>
    <row r="162" customFormat="false" ht="15.75" hidden="false" customHeight="false" outlineLevel="0" collapsed="false">
      <c r="A162" s="2" t="str">
        <f aca="false">IFERROR(__xludf.dummyfunction("""COMPUTED_VALUE"""),"HFI/KAN/1404")</f>
        <v>HFI/KAN/1404</v>
      </c>
      <c r="B162" s="2" t="str">
        <f aca="false">IFERROR(__xludf.dummyfunction("""COMPUTED_VALUE"""),"M. Savitha")</f>
        <v>M. Savitha</v>
      </c>
      <c r="C162" s="2" t="str">
        <f aca="false">IFERROR(__xludf.dummyfunction("""COMPUTED_VALUE"""),"S Connect")</f>
        <v>S Connect</v>
      </c>
      <c r="D162" s="2" t="str">
        <f aca="false">IFERROR(__xludf.dummyfunction("""COMPUTED_VALUE"""),"AP")</f>
        <v>AP</v>
      </c>
      <c r="E162" s="16" t="n">
        <f aca="false">IFERROR(__xludf.dummyfunction("""COMPUTED_VALUE"""),43647)</f>
        <v>43647</v>
      </c>
      <c r="F162" s="9" t="n">
        <f aca="false">IFERROR(__xludf.dummyfunction("""COMPUTED_VALUE"""),20000)</f>
        <v>20000</v>
      </c>
      <c r="G162" s="2" t="n">
        <f aca="false">IFERROR(__xludf.dummyfunction("""COMPUTED_VALUE"""),30)</f>
        <v>30</v>
      </c>
      <c r="H162" s="2" t="n">
        <f aca="false">IFERROR(__xludf.dummyfunction("""COMPUTED_VALUE"""),30)</f>
        <v>30</v>
      </c>
      <c r="I162" s="9" t="n">
        <f aca="false">IFERROR(__xludf.dummyfunction("""COMPUTED_VALUE"""),240000)</f>
        <v>240000</v>
      </c>
      <c r="J162" s="9" t="n">
        <f aca="false">IFERROR(__xludf.dummyfunction("""COMPUTED_VALUE"""),137)</f>
        <v>137</v>
      </c>
      <c r="K162" s="9"/>
      <c r="L162" s="9" t="n">
        <f aca="false">IFERROR(__xludf.dummyfunction("""COMPUTED_VALUE"""),0)</f>
        <v>0</v>
      </c>
      <c r="M162" s="9"/>
    </row>
    <row r="163" customFormat="false" ht="15.75" hidden="false" customHeight="false" outlineLevel="0" collapsed="false">
      <c r="A163" s="2" t="str">
        <f aca="false">IFERROR(__xludf.dummyfunction("""COMPUTED_VALUE"""),"HET/KAN/1405")</f>
        <v>HET/KAN/1405</v>
      </c>
      <c r="B163" s="2" t="str">
        <f aca="false">IFERROR(__xludf.dummyfunction("""COMPUTED_VALUE"""),"Jyoti Mishra")</f>
        <v>Jyoti Mishra</v>
      </c>
      <c r="C163" s="2" t="str">
        <f aca="false">IFERROR(__xludf.dummyfunction("""COMPUTED_VALUE"""),"S Connect")</f>
        <v>S Connect</v>
      </c>
      <c r="D163" s="2" t="str">
        <f aca="false">IFERROR(__xludf.dummyfunction("""COMPUTED_VALUE"""),"U.P")</f>
        <v>U.P</v>
      </c>
      <c r="E163" s="16" t="n">
        <f aca="false">IFERROR(__xludf.dummyfunction("""COMPUTED_VALUE"""),43648)</f>
        <v>43648</v>
      </c>
      <c r="F163" s="9" t="n">
        <f aca="false">IFERROR(__xludf.dummyfunction("""COMPUTED_VALUE"""),25000)</f>
        <v>25000</v>
      </c>
      <c r="G163" s="2" t="n">
        <f aca="false">IFERROR(__xludf.dummyfunction("""COMPUTED_VALUE"""),30)</f>
        <v>30</v>
      </c>
      <c r="H163" s="2" t="n">
        <f aca="false">IFERROR(__xludf.dummyfunction("""COMPUTED_VALUE"""),30)</f>
        <v>30</v>
      </c>
      <c r="I163" s="9" t="n">
        <f aca="false">IFERROR(__xludf.dummyfunction("""COMPUTED_VALUE"""),300000)</f>
        <v>300000</v>
      </c>
      <c r="J163" s="9" t="n">
        <f aca="false">IFERROR(__xludf.dummyfunction("""COMPUTED_VALUE"""),0)</f>
        <v>0</v>
      </c>
      <c r="K163" s="9"/>
      <c r="L163" s="9" t="n">
        <f aca="false">IFERROR(__xludf.dummyfunction("""COMPUTED_VALUE"""),0)</f>
        <v>0</v>
      </c>
      <c r="M163" s="9"/>
    </row>
    <row r="164" customFormat="false" ht="15.75" hidden="false" customHeight="false" outlineLevel="0" collapsed="false">
      <c r="A164" s="2" t="str">
        <f aca="false">IFERROR(__xludf.dummyfunction("""COMPUTED_VALUE"""),"HET/KAN/1406")</f>
        <v>HET/KAN/1406</v>
      </c>
      <c r="B164" s="2" t="str">
        <f aca="false">IFERROR(__xludf.dummyfunction("""COMPUTED_VALUE"""),"Akash Jaiswal")</f>
        <v>Akash Jaiswal</v>
      </c>
      <c r="C164" s="2" t="str">
        <f aca="false">IFERROR(__xludf.dummyfunction("""COMPUTED_VALUE"""),"S Connect")</f>
        <v>S Connect</v>
      </c>
      <c r="D164" s="2" t="str">
        <f aca="false">IFERROR(__xludf.dummyfunction("""COMPUTED_VALUE"""),"U.P")</f>
        <v>U.P</v>
      </c>
      <c r="E164" s="16" t="n">
        <f aca="false">IFERROR(__xludf.dummyfunction("""COMPUTED_VALUE"""),43649)</f>
        <v>43649</v>
      </c>
      <c r="F164" s="9" t="n">
        <f aca="false">IFERROR(__xludf.dummyfunction("""COMPUTED_VALUE"""),20000)</f>
        <v>20000</v>
      </c>
      <c r="G164" s="2" t="n">
        <f aca="false">IFERROR(__xludf.dummyfunction("""COMPUTED_VALUE"""),30)</f>
        <v>30</v>
      </c>
      <c r="H164" s="2" t="n">
        <f aca="false">IFERROR(__xludf.dummyfunction("""COMPUTED_VALUE"""),30)</f>
        <v>30</v>
      </c>
      <c r="I164" s="9" t="n">
        <f aca="false">IFERROR(__xludf.dummyfunction("""COMPUTED_VALUE"""),240000)</f>
        <v>240000</v>
      </c>
      <c r="J164" s="9" t="n">
        <f aca="false">IFERROR(__xludf.dummyfunction("""COMPUTED_VALUE"""),208)</f>
        <v>208</v>
      </c>
      <c r="K164" s="9"/>
      <c r="L164" s="9" t="n">
        <f aca="false">IFERROR(__xludf.dummyfunction("""COMPUTED_VALUE"""),0)</f>
        <v>0</v>
      </c>
      <c r="M164" s="9"/>
    </row>
    <row r="165" customFormat="false" ht="15.75" hidden="false" customHeight="false" outlineLevel="0" collapsed="false">
      <c r="A165" s="2" t="str">
        <f aca="false">IFERROR(__xludf.dummyfunction("""COMPUTED_VALUE"""),"HET/BMA/1428")</f>
        <v>HET/BMA/1428</v>
      </c>
      <c r="B165" s="2" t="str">
        <f aca="false">IFERROR(__xludf.dummyfunction("""COMPUTED_VALUE"""),"Varsha Kushwaha  ")</f>
        <v>Varsha Kushwaha  </v>
      </c>
      <c r="C165" s="2" t="str">
        <f aca="false">IFERROR(__xludf.dummyfunction("""COMPUTED_VALUE"""),"Fellowship")</f>
        <v>Fellowship</v>
      </c>
      <c r="D165" s="2" t="str">
        <f aca="false">IFERROR(__xludf.dummyfunction("""COMPUTED_VALUE"""),"Kanha")</f>
        <v>Kanha</v>
      </c>
      <c r="E165" s="16" t="n">
        <f aca="false">IFERROR(__xludf.dummyfunction("""COMPUTED_VALUE"""),43652)</f>
        <v>43652</v>
      </c>
      <c r="F165" s="9" t="n">
        <f aca="false">IFERROR(__xludf.dummyfunction("""COMPUTED_VALUE"""),8000)</f>
        <v>8000</v>
      </c>
      <c r="G165" s="2" t="n">
        <f aca="false">IFERROR(__xludf.dummyfunction("""COMPUTED_VALUE"""),30)</f>
        <v>30</v>
      </c>
      <c r="H165" s="2" t="n">
        <f aca="false">IFERROR(__xludf.dummyfunction("""COMPUTED_VALUE"""),30)</f>
        <v>30</v>
      </c>
      <c r="I165" s="9" t="n">
        <f aca="false">IFERROR(__xludf.dummyfunction("""COMPUTED_VALUE"""),96000)</f>
        <v>96000</v>
      </c>
      <c r="J165" s="9" t="n">
        <f aca="false">IFERROR(__xludf.dummyfunction("""COMPUTED_VALUE"""),68)</f>
        <v>68</v>
      </c>
      <c r="K165" s="9"/>
      <c r="L165" s="9" t="n">
        <f aca="false">IFERROR(__xludf.dummyfunction("""COMPUTED_VALUE"""),250)</f>
        <v>250</v>
      </c>
      <c r="M165" s="9"/>
    </row>
    <row r="166" customFormat="false" ht="15.75" hidden="false" customHeight="false" outlineLevel="0" collapsed="false">
      <c r="A166" s="2" t="str">
        <f aca="false">IFERROR(__xludf.dummyfunction("""COMPUTED_VALUE"""),"HET/KAN/1407")</f>
        <v>HET/KAN/1407</v>
      </c>
      <c r="B166" s="2" t="str">
        <f aca="false">IFERROR(__xludf.dummyfunction("""COMPUTED_VALUE"""),"Anusha")</f>
        <v>Anusha</v>
      </c>
      <c r="C166" s="2" t="str">
        <f aca="false">IFERROR(__xludf.dummyfunction("""COMPUTED_VALUE"""),"S Connect")</f>
        <v>S Connect</v>
      </c>
      <c r="D166" s="2" t="str">
        <f aca="false">IFERROR(__xludf.dummyfunction("""COMPUTED_VALUE"""),"AP")</f>
        <v>AP</v>
      </c>
      <c r="E166" s="16" t="n">
        <f aca="false">IFERROR(__xludf.dummyfunction("""COMPUTED_VALUE"""),43672)</f>
        <v>43672</v>
      </c>
      <c r="F166" s="9" t="n">
        <f aca="false">IFERROR(__xludf.dummyfunction("""COMPUTED_VALUE"""),20000)</f>
        <v>20000</v>
      </c>
      <c r="G166" s="2" t="n">
        <f aca="false">IFERROR(__xludf.dummyfunction("""COMPUTED_VALUE"""),30)</f>
        <v>30</v>
      </c>
      <c r="H166" s="2" t="n">
        <f aca="false">IFERROR(__xludf.dummyfunction("""COMPUTED_VALUE"""),30)</f>
        <v>30</v>
      </c>
      <c r="I166" s="9" t="n">
        <f aca="false">IFERROR(__xludf.dummyfunction("""COMPUTED_VALUE"""),240000)</f>
        <v>240000</v>
      </c>
      <c r="J166" s="9" t="n">
        <f aca="false">IFERROR(__xludf.dummyfunction("""COMPUTED_VALUE"""),259)</f>
        <v>259</v>
      </c>
      <c r="K166" s="9"/>
      <c r="L166" s="9" t="n">
        <f aca="false">IFERROR(__xludf.dummyfunction("""COMPUTED_VALUE"""),0)</f>
        <v>0</v>
      </c>
      <c r="M166" s="9"/>
    </row>
    <row r="167" customFormat="false" ht="15.75" hidden="false" customHeight="false" outlineLevel="0" collapsed="false">
      <c r="A167" s="2" t="str">
        <f aca="false">IFERROR(__xludf.dummyfunction("""COMPUTED_VALUE"""),"HET/KAN/1429")</f>
        <v>HET/KAN/1429</v>
      </c>
      <c r="B167" s="2" t="str">
        <f aca="false">IFERROR(__xludf.dummyfunction("""COMPUTED_VALUE"""),"Somashakara Rao")</f>
        <v>Somashakara Rao</v>
      </c>
      <c r="C167" s="2" t="str">
        <f aca="false">IFERROR(__xludf.dummyfunction("""COMPUTED_VALUE"""),"S Connect")</f>
        <v>S Connect</v>
      </c>
      <c r="D167" s="2" t="str">
        <f aca="false">IFERROR(__xludf.dummyfunction("""COMPUTED_VALUE"""),"AP")</f>
        <v>AP</v>
      </c>
      <c r="E167" s="16" t="n">
        <f aca="false">IFERROR(__xludf.dummyfunction("""COMPUTED_VALUE"""),43672)</f>
        <v>43672</v>
      </c>
      <c r="F167" s="9" t="n">
        <f aca="false">IFERROR(__xludf.dummyfunction("""COMPUTED_VALUE"""),20000)</f>
        <v>20000</v>
      </c>
      <c r="G167" s="2" t="n">
        <f aca="false">IFERROR(__xludf.dummyfunction("""COMPUTED_VALUE"""),30)</f>
        <v>30</v>
      </c>
      <c r="H167" s="2" t="n">
        <f aca="false">IFERROR(__xludf.dummyfunction("""COMPUTED_VALUE"""),30)</f>
        <v>30</v>
      </c>
      <c r="I167" s="9" t="n">
        <f aca="false">IFERROR(__xludf.dummyfunction("""COMPUTED_VALUE"""),240000)</f>
        <v>240000</v>
      </c>
      <c r="J167" s="9" t="n">
        <f aca="false">IFERROR(__xludf.dummyfunction("""COMPUTED_VALUE"""),318)</f>
        <v>318</v>
      </c>
      <c r="K167" s="9"/>
      <c r="L167" s="9" t="n">
        <f aca="false">IFERROR(__xludf.dummyfunction("""COMPUTED_VALUE"""),0)</f>
        <v>0</v>
      </c>
      <c r="M167" s="9"/>
    </row>
    <row r="168" customFormat="false" ht="15.75" hidden="false" customHeight="false" outlineLevel="0" collapsed="false">
      <c r="A168" s="2" t="str">
        <f aca="false">IFERROR(__xludf.dummyfunction("""COMPUTED_VALUE"""),"HET/KAN/1408")</f>
        <v>HET/KAN/1408</v>
      </c>
      <c r="B168" s="2" t="str">
        <f aca="false">IFERROR(__xludf.dummyfunction("""COMPUTED_VALUE"""),"Gangavrapu Sreenivasulu")</f>
        <v>Gangavrapu Sreenivasulu</v>
      </c>
      <c r="C168" s="2" t="str">
        <f aca="false">IFERROR(__xludf.dummyfunction("""COMPUTED_VALUE"""),"S Connect")</f>
        <v>S Connect</v>
      </c>
      <c r="D168" s="2" t="str">
        <f aca="false">IFERROR(__xludf.dummyfunction("""COMPUTED_VALUE"""),"AP")</f>
        <v>AP</v>
      </c>
      <c r="E168" s="16" t="n">
        <f aca="false">IFERROR(__xludf.dummyfunction("""COMPUTED_VALUE"""),43672)</f>
        <v>43672</v>
      </c>
      <c r="F168" s="9" t="n">
        <f aca="false">IFERROR(__xludf.dummyfunction("""COMPUTED_VALUE"""),20000)</f>
        <v>20000</v>
      </c>
      <c r="G168" s="2" t="n">
        <f aca="false">IFERROR(__xludf.dummyfunction("""COMPUTED_VALUE"""),30)</f>
        <v>30</v>
      </c>
      <c r="H168" s="2" t="n">
        <f aca="false">IFERROR(__xludf.dummyfunction("""COMPUTED_VALUE"""),30)</f>
        <v>30</v>
      </c>
      <c r="I168" s="9" t="n">
        <f aca="false">IFERROR(__xludf.dummyfunction("""COMPUTED_VALUE"""),240000)</f>
        <v>240000</v>
      </c>
      <c r="J168" s="9" t="n">
        <f aca="false">IFERROR(__xludf.dummyfunction("""COMPUTED_VALUE"""),188)</f>
        <v>188</v>
      </c>
      <c r="K168" s="9"/>
      <c r="L168" s="9" t="n">
        <f aca="false">IFERROR(__xludf.dummyfunction("""COMPUTED_VALUE"""),0)</f>
        <v>0</v>
      </c>
      <c r="M168" s="9"/>
    </row>
    <row r="169" customFormat="false" ht="15.75" hidden="false" customHeight="false" outlineLevel="0" collapsed="false">
      <c r="A169" s="2" t="str">
        <f aca="false">IFERROR(__xludf.dummyfunction("""COMPUTED_VALUE"""),"HET/BMA/1431")</f>
        <v>HET/BMA/1431</v>
      </c>
      <c r="B169" s="2" t="str">
        <f aca="false">IFERROR(__xludf.dummyfunction("""COMPUTED_VALUE"""),"V. Sitalakshmi")</f>
        <v>V. Sitalakshmi</v>
      </c>
      <c r="C169" s="2" t="str">
        <f aca="false">IFERROR(__xludf.dummyfunction("""COMPUTED_VALUE"""),"S Connect")</f>
        <v>S Connect</v>
      </c>
      <c r="D169" s="2" t="str">
        <f aca="false">IFERROR(__xludf.dummyfunction("""COMPUTED_VALUE"""),"AP")</f>
        <v>AP</v>
      </c>
      <c r="E169" s="16" t="n">
        <f aca="false">IFERROR(__xludf.dummyfunction("""COMPUTED_VALUE"""),43672)</f>
        <v>43672</v>
      </c>
      <c r="F169" s="9" t="n">
        <f aca="false">IFERROR(__xludf.dummyfunction("""COMPUTED_VALUE"""),20000)</f>
        <v>20000</v>
      </c>
      <c r="G169" s="2" t="n">
        <f aca="false">IFERROR(__xludf.dummyfunction("""COMPUTED_VALUE"""),30)</f>
        <v>30</v>
      </c>
      <c r="H169" s="2" t="n">
        <f aca="false">IFERROR(__xludf.dummyfunction("""COMPUTED_VALUE"""),30)</f>
        <v>30</v>
      </c>
      <c r="I169" s="9" t="n">
        <f aca="false">IFERROR(__xludf.dummyfunction("""COMPUTED_VALUE"""),240000)</f>
        <v>240000</v>
      </c>
      <c r="J169" s="9" t="n">
        <f aca="false">IFERROR(__xludf.dummyfunction("""COMPUTED_VALUE"""),337)</f>
        <v>337</v>
      </c>
      <c r="K169" s="9"/>
      <c r="L169" s="9" t="n">
        <f aca="false">IFERROR(__xludf.dummyfunction("""COMPUTED_VALUE"""),0)</f>
        <v>0</v>
      </c>
      <c r="M169" s="9"/>
    </row>
    <row r="170" customFormat="false" ht="15.75" hidden="false" customHeight="false" outlineLevel="0" collapsed="false">
      <c r="A170" s="2" t="str">
        <f aca="false">IFERROR(__xludf.dummyfunction("""COMPUTED_VALUE"""),"HET/KAN/1409")</f>
        <v>HET/KAN/1409</v>
      </c>
      <c r="B170" s="2" t="str">
        <f aca="false">IFERROR(__xludf.dummyfunction("""COMPUTED_VALUE"""),"Kyavarsu Padmavathi")</f>
        <v>Kyavarsu Padmavathi</v>
      </c>
      <c r="C170" s="2" t="str">
        <f aca="false">IFERROR(__xludf.dummyfunction("""COMPUTED_VALUE"""),"S Connect")</f>
        <v>S Connect</v>
      </c>
      <c r="D170" s="2" t="str">
        <f aca="false">IFERROR(__xludf.dummyfunction("""COMPUTED_VALUE"""),"AP")</f>
        <v>AP</v>
      </c>
      <c r="E170" s="16" t="n">
        <f aca="false">IFERROR(__xludf.dummyfunction("""COMPUTED_VALUE"""),43672)</f>
        <v>43672</v>
      </c>
      <c r="F170" s="9" t="n">
        <f aca="false">IFERROR(__xludf.dummyfunction("""COMPUTED_VALUE"""),20000)</f>
        <v>20000</v>
      </c>
      <c r="G170" s="2" t="n">
        <f aca="false">IFERROR(__xludf.dummyfunction("""COMPUTED_VALUE"""),30)</f>
        <v>30</v>
      </c>
      <c r="H170" s="2" t="n">
        <f aca="false">IFERROR(__xludf.dummyfunction("""COMPUTED_VALUE"""),30)</f>
        <v>30</v>
      </c>
      <c r="I170" s="9" t="n">
        <f aca="false">IFERROR(__xludf.dummyfunction("""COMPUTED_VALUE"""),240000)</f>
        <v>240000</v>
      </c>
      <c r="J170" s="9" t="n">
        <f aca="false">IFERROR(__xludf.dummyfunction("""COMPUTED_VALUE"""),0)</f>
        <v>0</v>
      </c>
      <c r="K170" s="9"/>
      <c r="L170" s="9" t="n">
        <f aca="false">IFERROR(__xludf.dummyfunction("""COMPUTED_VALUE"""),0)</f>
        <v>0</v>
      </c>
      <c r="M170" s="9"/>
    </row>
    <row r="171" customFormat="false" ht="15.75" hidden="false" customHeight="false" outlineLevel="0" collapsed="false">
      <c r="A171" s="2" t="str">
        <f aca="false">IFERROR(__xludf.dummyfunction("""COMPUTED_VALUE"""),"HET/BMA/1411")</f>
        <v>HET/BMA/1411</v>
      </c>
      <c r="B171" s="2" t="str">
        <f aca="false">IFERROR(__xludf.dummyfunction("""COMPUTED_VALUE"""),"Hemadevi Peri")</f>
        <v>Hemadevi Peri</v>
      </c>
      <c r="C171" s="2" t="str">
        <f aca="false">IFERROR(__xludf.dummyfunction("""COMPUTED_VALUE"""),"S Connect")</f>
        <v>S Connect</v>
      </c>
      <c r="D171" s="2" t="str">
        <f aca="false">IFERROR(__xludf.dummyfunction("""COMPUTED_VALUE"""),"Chennai")</f>
        <v>Chennai</v>
      </c>
      <c r="E171" s="16" t="n">
        <f aca="false">IFERROR(__xludf.dummyfunction("""COMPUTED_VALUE"""),43682)</f>
        <v>43682</v>
      </c>
      <c r="F171" s="9" t="n">
        <f aca="false">IFERROR(__xludf.dummyfunction("""COMPUTED_VALUE"""),20000)</f>
        <v>20000</v>
      </c>
      <c r="G171" s="2" t="n">
        <f aca="false">IFERROR(__xludf.dummyfunction("""COMPUTED_VALUE"""),30)</f>
        <v>30</v>
      </c>
      <c r="H171" s="2" t="n">
        <f aca="false">IFERROR(__xludf.dummyfunction("""COMPUTED_VALUE"""),30)</f>
        <v>30</v>
      </c>
      <c r="I171" s="9" t="n">
        <f aca="false">IFERROR(__xludf.dummyfunction("""COMPUTED_VALUE"""),240000)</f>
        <v>240000</v>
      </c>
      <c r="J171" s="9" t="n">
        <f aca="false">IFERROR(__xludf.dummyfunction("""COMPUTED_VALUE"""),78)</f>
        <v>78</v>
      </c>
      <c r="K171" s="9"/>
      <c r="L171" s="9" t="n">
        <f aca="false">IFERROR(__xludf.dummyfunction("""COMPUTED_VALUE"""),0)</f>
        <v>0</v>
      </c>
      <c r="M171" s="9"/>
    </row>
    <row r="172" customFormat="false" ht="15.75" hidden="false" customHeight="false" outlineLevel="0" collapsed="false">
      <c r="A172" s="2" t="str">
        <f aca="false">IFERROR(__xludf.dummyfunction("""COMPUTED_VALUE"""),"HET/KAN/1397")</f>
        <v>HET/KAN/1397</v>
      </c>
      <c r="B172" s="2" t="str">
        <f aca="false">IFERROR(__xludf.dummyfunction("""COMPUTED_VALUE"""),"Santhi Pavanan")</f>
        <v>Santhi Pavanan</v>
      </c>
      <c r="C172" s="2" t="str">
        <f aca="false">IFERROR(__xludf.dummyfunction("""COMPUTED_VALUE"""),"S Connect")</f>
        <v>S Connect</v>
      </c>
      <c r="D172" s="2" t="str">
        <f aca="false">IFERROR(__xludf.dummyfunction("""COMPUTED_VALUE"""),"Kerala")</f>
        <v>Kerala</v>
      </c>
      <c r="E172" s="16" t="n">
        <f aca="false">IFERROR(__xludf.dummyfunction("""COMPUTED_VALUE"""),43696)</f>
        <v>43696</v>
      </c>
      <c r="F172" s="9" t="n">
        <f aca="false">IFERROR(__xludf.dummyfunction("""COMPUTED_VALUE"""),20000)</f>
        <v>20000</v>
      </c>
      <c r="G172" s="2" t="n">
        <f aca="false">IFERROR(__xludf.dummyfunction("""COMPUTED_VALUE"""),30)</f>
        <v>30</v>
      </c>
      <c r="H172" s="2" t="n">
        <f aca="false">IFERROR(__xludf.dummyfunction("""COMPUTED_VALUE"""),30)</f>
        <v>30</v>
      </c>
      <c r="I172" s="9" t="n">
        <f aca="false">IFERROR(__xludf.dummyfunction("""COMPUTED_VALUE"""),240000)</f>
        <v>240000</v>
      </c>
      <c r="J172" s="9" t="n">
        <f aca="false">IFERROR(__xludf.dummyfunction("""COMPUTED_VALUE"""),514)</f>
        <v>514</v>
      </c>
      <c r="K172" s="9"/>
      <c r="L172" s="9" t="n">
        <f aca="false">IFERROR(__xludf.dummyfunction("""COMPUTED_VALUE"""),0)</f>
        <v>0</v>
      </c>
      <c r="M172" s="9"/>
    </row>
    <row r="173" customFormat="false" ht="15.75" hidden="false" customHeight="false" outlineLevel="0" collapsed="false">
      <c r="A173" s="2" t="str">
        <f aca="false">IFERROR(__xludf.dummyfunction("""COMPUTED_VALUE"""),"HET/KAN/1412")</f>
        <v>HET/KAN/1412</v>
      </c>
      <c r="B173" s="2" t="str">
        <f aca="false">IFERROR(__xludf.dummyfunction("""COMPUTED_VALUE"""),"Kunapuli Padmavathi")</f>
        <v>Kunapuli Padmavathi</v>
      </c>
      <c r="C173" s="2" t="str">
        <f aca="false">IFERROR(__xludf.dummyfunction("""COMPUTED_VALUE"""),"S Connect")</f>
        <v>S Connect</v>
      </c>
      <c r="D173" s="2" t="str">
        <f aca="false">IFERROR(__xludf.dummyfunction("""COMPUTED_VALUE"""),"AP")</f>
        <v>AP</v>
      </c>
      <c r="E173" s="16" t="n">
        <f aca="false">IFERROR(__xludf.dummyfunction("""COMPUTED_VALUE"""),43696)</f>
        <v>43696</v>
      </c>
      <c r="F173" s="9" t="n">
        <f aca="false">IFERROR(__xludf.dummyfunction("""COMPUTED_VALUE"""),20000)</f>
        <v>20000</v>
      </c>
      <c r="G173" s="2" t="n">
        <f aca="false">IFERROR(__xludf.dummyfunction("""COMPUTED_VALUE"""),30)</f>
        <v>30</v>
      </c>
      <c r="H173" s="2" t="n">
        <f aca="false">IFERROR(__xludf.dummyfunction("""COMPUTED_VALUE"""),30)</f>
        <v>30</v>
      </c>
      <c r="I173" s="9" t="n">
        <f aca="false">IFERROR(__xludf.dummyfunction("""COMPUTED_VALUE"""),240000)</f>
        <v>240000</v>
      </c>
      <c r="J173" s="9" t="n">
        <f aca="false">IFERROR(__xludf.dummyfunction("""COMPUTED_VALUE"""),588)</f>
        <v>588</v>
      </c>
      <c r="K173" s="9"/>
      <c r="L173" s="9" t="n">
        <f aca="false">IFERROR(__xludf.dummyfunction("""COMPUTED_VALUE"""),0)</f>
        <v>0</v>
      </c>
      <c r="M173" s="9"/>
    </row>
    <row r="174" customFormat="false" ht="15.75" hidden="false" customHeight="false" outlineLevel="0" collapsed="false">
      <c r="A174" s="2" t="str">
        <f aca="false">IFERROR(__xludf.dummyfunction("""COMPUTED_VALUE"""),"HET/KAN/1413")</f>
        <v>HET/KAN/1413</v>
      </c>
      <c r="B174" s="2" t="str">
        <f aca="false">IFERROR(__xludf.dummyfunction("""COMPUTED_VALUE"""),"Suneetha Kalakonda")</f>
        <v>Suneetha Kalakonda</v>
      </c>
      <c r="C174" s="2" t="str">
        <f aca="false">IFERROR(__xludf.dummyfunction("""COMPUTED_VALUE"""),"S Connect")</f>
        <v>S Connect</v>
      </c>
      <c r="D174" s="2" t="str">
        <f aca="false">IFERROR(__xludf.dummyfunction("""COMPUTED_VALUE"""),"AP")</f>
        <v>AP</v>
      </c>
      <c r="E174" s="16" t="n">
        <f aca="false">IFERROR(__xludf.dummyfunction("""COMPUTED_VALUE"""),43696)</f>
        <v>43696</v>
      </c>
      <c r="F174" s="9" t="n">
        <f aca="false">IFERROR(__xludf.dummyfunction("""COMPUTED_VALUE"""),20000)</f>
        <v>20000</v>
      </c>
      <c r="G174" s="2" t="n">
        <f aca="false">IFERROR(__xludf.dummyfunction("""COMPUTED_VALUE"""),30)</f>
        <v>30</v>
      </c>
      <c r="H174" s="2" t="n">
        <f aca="false">IFERROR(__xludf.dummyfunction("""COMPUTED_VALUE"""),30)</f>
        <v>30</v>
      </c>
      <c r="I174" s="9" t="n">
        <f aca="false">IFERROR(__xludf.dummyfunction("""COMPUTED_VALUE"""),240000)</f>
        <v>240000</v>
      </c>
      <c r="J174" s="9" t="n">
        <f aca="false">IFERROR(__xludf.dummyfunction("""COMPUTED_VALUE"""),526)</f>
        <v>526</v>
      </c>
      <c r="K174" s="9"/>
      <c r="L174" s="9" t="n">
        <f aca="false">IFERROR(__xludf.dummyfunction("""COMPUTED_VALUE"""),0)</f>
        <v>0</v>
      </c>
      <c r="M174" s="9"/>
    </row>
    <row r="175" customFormat="false" ht="15.75" hidden="false" customHeight="false" outlineLevel="0" collapsed="false">
      <c r="A175" s="2" t="str">
        <f aca="false">IFERROR(__xludf.dummyfunction("""COMPUTED_VALUE"""),"HET/KAN/1414")</f>
        <v>HET/KAN/1414</v>
      </c>
      <c r="B175" s="2" t="str">
        <f aca="false">IFERROR(__xludf.dummyfunction("""COMPUTED_VALUE"""),"Bhimala Srinivasa Rao ")</f>
        <v>Bhimala Srinivasa Rao </v>
      </c>
      <c r="C175" s="2" t="str">
        <f aca="false">IFERROR(__xludf.dummyfunction("""COMPUTED_VALUE"""),"S Connect")</f>
        <v>S Connect</v>
      </c>
      <c r="D175" s="2" t="str">
        <f aca="false">IFERROR(__xludf.dummyfunction("""COMPUTED_VALUE"""),"AP")</f>
        <v>AP</v>
      </c>
      <c r="E175" s="16" t="n">
        <f aca="false">IFERROR(__xludf.dummyfunction("""COMPUTED_VALUE"""),43696)</f>
        <v>43696</v>
      </c>
      <c r="F175" s="9" t="n">
        <f aca="false">IFERROR(__xludf.dummyfunction("""COMPUTED_VALUE"""),20000)</f>
        <v>20000</v>
      </c>
      <c r="G175" s="2" t="n">
        <f aca="false">IFERROR(__xludf.dummyfunction("""COMPUTED_VALUE"""),30)</f>
        <v>30</v>
      </c>
      <c r="H175" s="2" t="n">
        <f aca="false">IFERROR(__xludf.dummyfunction("""COMPUTED_VALUE"""),30)</f>
        <v>30</v>
      </c>
      <c r="I175" s="9" t="n">
        <f aca="false">IFERROR(__xludf.dummyfunction("""COMPUTED_VALUE"""),240000)</f>
        <v>240000</v>
      </c>
      <c r="J175" s="9" t="n">
        <f aca="false">IFERROR(__xludf.dummyfunction("""COMPUTED_VALUE"""),240)</f>
        <v>240</v>
      </c>
      <c r="K175" s="9"/>
      <c r="L175" s="9" t="n">
        <f aca="false">IFERROR(__xludf.dummyfunction("""COMPUTED_VALUE"""),0)</f>
        <v>0</v>
      </c>
      <c r="M175" s="9"/>
    </row>
    <row r="176" customFormat="false" ht="15.75" hidden="false" customHeight="false" outlineLevel="0" collapsed="false">
      <c r="A176" s="2" t="str">
        <f aca="false">IFERROR(__xludf.dummyfunction("""COMPUTED_VALUE"""),"HET/KAN/1369")</f>
        <v>HET/KAN/1369</v>
      </c>
      <c r="B176" s="2" t="str">
        <f aca="false">IFERROR(__xludf.dummyfunction("""COMPUTED_VALUE"""),"Ankur Naik")</f>
        <v>Ankur Naik</v>
      </c>
      <c r="C176" s="2" t="str">
        <f aca="false">IFERROR(__xludf.dummyfunction("""COMPUTED_VALUE"""),"Wellness &amp; Yoga")</f>
        <v>Wellness &amp; Yoga</v>
      </c>
      <c r="D176" s="2" t="str">
        <f aca="false">IFERROR(__xludf.dummyfunction("""COMPUTED_VALUE"""),"Kanha")</f>
        <v>Kanha</v>
      </c>
      <c r="E176" s="16" t="n">
        <f aca="false">IFERROR(__xludf.dummyfunction("""COMPUTED_VALUE"""),43672)</f>
        <v>43672</v>
      </c>
      <c r="F176" s="9" t="n">
        <f aca="false">IFERROR(__xludf.dummyfunction("""COMPUTED_VALUE"""),40000)</f>
        <v>40000</v>
      </c>
      <c r="G176" s="2" t="n">
        <f aca="false">IFERROR(__xludf.dummyfunction("""COMPUTED_VALUE"""),30)</f>
        <v>30</v>
      </c>
      <c r="H176" s="2" t="n">
        <f aca="false">IFERROR(__xludf.dummyfunction("""COMPUTED_VALUE"""),30)</f>
        <v>30</v>
      </c>
      <c r="I176" s="9" t="n">
        <f aca="false">IFERROR(__xludf.dummyfunction("""COMPUTED_VALUE"""),480000)</f>
        <v>480000</v>
      </c>
      <c r="J176" s="9" t="n">
        <f aca="false">IFERROR(__xludf.dummyfunction("""COMPUTED_VALUE"""),107)</f>
        <v>107</v>
      </c>
      <c r="K176" s="9"/>
      <c r="L176" s="9" t="n">
        <f aca="false">IFERROR(__xludf.dummyfunction("""COMPUTED_VALUE"""),0)</f>
        <v>0</v>
      </c>
      <c r="M176" s="9"/>
    </row>
    <row r="177" customFormat="false" ht="15.75" hidden="false" customHeight="false" outlineLevel="0" collapsed="false">
      <c r="A177" s="2" t="str">
        <f aca="false">IFERROR(__xludf.dummyfunction("""COMPUTED_VALUE"""),"SMSF/KOAA/0556")</f>
        <v>SMSF/KOAA/0556</v>
      </c>
      <c r="B177" s="2" t="str">
        <f aca="false">IFERROR(__xludf.dummyfunction("""COMPUTED_VALUE"""),"Juhi Shah")</f>
        <v>Juhi Shah</v>
      </c>
      <c r="C177" s="2" t="str">
        <f aca="false">IFERROR(__xludf.dummyfunction("""COMPUTED_VALUE"""),"S Connect")</f>
        <v>S Connect</v>
      </c>
      <c r="D177" s="2" t="str">
        <f aca="false">IFERROR(__xludf.dummyfunction("""COMPUTED_VALUE"""),"Kolkata")</f>
        <v>Kolkata</v>
      </c>
      <c r="E177" s="16" t="n">
        <f aca="false">IFERROR(__xludf.dummyfunction("""COMPUTED_VALUE"""),42583)</f>
        <v>42583</v>
      </c>
      <c r="F177" s="9" t="n">
        <f aca="false">IFERROR(__xludf.dummyfunction("""COMPUTED_VALUE"""),28875)</f>
        <v>28875</v>
      </c>
      <c r="G177" s="2" t="n">
        <f aca="false">IFERROR(__xludf.dummyfunction("""COMPUTED_VALUE"""),30)</f>
        <v>30</v>
      </c>
      <c r="H177" s="2" t="n">
        <f aca="false">IFERROR(__xludf.dummyfunction("""COMPUTED_VALUE"""),30)</f>
        <v>30</v>
      </c>
      <c r="I177" s="9" t="n">
        <f aca="false">IFERROR(__xludf.dummyfunction("""COMPUTED_VALUE"""),346500)</f>
        <v>346500</v>
      </c>
      <c r="J177" s="9" t="n">
        <f aca="false">IFERROR(__xludf.dummyfunction("""COMPUTED_VALUE"""),771)</f>
        <v>771</v>
      </c>
      <c r="K177" s="9"/>
      <c r="L177" s="9" t="n">
        <f aca="false">IFERROR(__xludf.dummyfunction("""COMPUTED_VALUE"""),0)</f>
        <v>0</v>
      </c>
      <c r="M177" s="9"/>
    </row>
    <row r="178" customFormat="false" ht="15.75" hidden="false" customHeight="false" outlineLevel="0" collapsed="false">
      <c r="A178" s="2" t="str">
        <f aca="false">IFERROR(__xludf.dummyfunction("""COMPUTED_VALUE"""),"HET/KAN/1389")</f>
        <v>HET/KAN/1389</v>
      </c>
      <c r="B178" s="2" t="str">
        <f aca="false">IFERROR(__xludf.dummyfunction("""COMPUTED_VALUE"""),"Divyadarshan")</f>
        <v>Divyadarshan</v>
      </c>
      <c r="C178" s="2" t="str">
        <f aca="false">IFERROR(__xludf.dummyfunction("""COMPUTED_VALUE"""),"S Connect")</f>
        <v>S Connect</v>
      </c>
      <c r="D178" s="2" t="str">
        <f aca="false">IFERROR(__xludf.dummyfunction("""COMPUTED_VALUE"""),"A.P")</f>
        <v>A.P</v>
      </c>
      <c r="E178" s="16" t="n">
        <f aca="false">IFERROR(__xludf.dummyfunction("""COMPUTED_VALUE"""),43709)</f>
        <v>43709</v>
      </c>
      <c r="F178" s="9" t="n">
        <f aca="false">IFERROR(__xludf.dummyfunction("""COMPUTED_VALUE"""),35000)</f>
        <v>35000</v>
      </c>
      <c r="G178" s="2" t="n">
        <f aca="false">IFERROR(__xludf.dummyfunction("""COMPUTED_VALUE"""),30)</f>
        <v>30</v>
      </c>
      <c r="H178" s="2" t="n">
        <f aca="false">IFERROR(__xludf.dummyfunction("""COMPUTED_VALUE"""),30)</f>
        <v>30</v>
      </c>
      <c r="I178" s="9" t="n">
        <f aca="false">IFERROR(__xludf.dummyfunction("""COMPUTED_VALUE"""),420000)</f>
        <v>420000</v>
      </c>
      <c r="J178" s="9" t="n">
        <f aca="false">IFERROR(__xludf.dummyfunction("""COMPUTED_VALUE"""),103)</f>
        <v>103</v>
      </c>
      <c r="K178" s="9"/>
      <c r="L178" s="9" t="n">
        <f aca="false">IFERROR(__xludf.dummyfunction("""COMPUTED_VALUE"""),0)</f>
        <v>0</v>
      </c>
      <c r="M178" s="9"/>
    </row>
    <row r="179" customFormat="false" ht="15.75" hidden="false" customHeight="false" outlineLevel="0" collapsed="false">
      <c r="A179" s="2" t="str">
        <f aca="false">IFERROR(__xludf.dummyfunction("""COMPUTED_VALUE"""),"HET/UP/1440")</f>
        <v>HET/UP/1440</v>
      </c>
      <c r="B179" s="2" t="str">
        <f aca="false">IFERROR(__xludf.dummyfunction("""COMPUTED_VALUE"""),"Vibha Srivastava")</f>
        <v>Vibha Srivastava</v>
      </c>
      <c r="C179" s="2" t="str">
        <f aca="false">IFERROR(__xludf.dummyfunction("""COMPUTED_VALUE"""),"S Connect")</f>
        <v>S Connect</v>
      </c>
      <c r="D179" s="2" t="str">
        <f aca="false">IFERROR(__xludf.dummyfunction("""COMPUTED_VALUE"""),"U.P")</f>
        <v>U.P</v>
      </c>
      <c r="E179" s="16" t="n">
        <f aca="false">IFERROR(__xludf.dummyfunction("""COMPUTED_VALUE"""),43739)</f>
        <v>43739</v>
      </c>
      <c r="F179" s="9" t="n">
        <f aca="false">IFERROR(__xludf.dummyfunction("""COMPUTED_VALUE"""),10000)</f>
        <v>10000</v>
      </c>
      <c r="G179" s="2" t="n">
        <f aca="false">IFERROR(__xludf.dummyfunction("""COMPUTED_VALUE"""),30)</f>
        <v>30</v>
      </c>
      <c r="H179" s="2" t="n">
        <f aca="false">IFERROR(__xludf.dummyfunction("""COMPUTED_VALUE"""),30)</f>
        <v>30</v>
      </c>
      <c r="I179" s="9" t="n">
        <f aca="false">IFERROR(__xludf.dummyfunction("""COMPUTED_VALUE"""),120000)</f>
        <v>120000</v>
      </c>
      <c r="J179" s="9" t="n">
        <f aca="false">IFERROR(__xludf.dummyfunction("""COMPUTED_VALUE"""),71)</f>
        <v>71</v>
      </c>
      <c r="K179" s="9"/>
      <c r="L179" s="9" t="n">
        <f aca="false">IFERROR(__xludf.dummyfunction("""COMPUTED_VALUE"""),0)</f>
        <v>0</v>
      </c>
      <c r="M179" s="9"/>
    </row>
    <row r="180" customFormat="false" ht="15.75" hidden="false" customHeight="false" outlineLevel="0" collapsed="false">
      <c r="A180" s="2" t="str">
        <f aca="false">IFERROR(__xludf.dummyfunction("""COMPUTED_VALUE"""),"HET/KAN/1298")</f>
        <v>HET/KAN/1298</v>
      </c>
      <c r="B180" s="2" t="str">
        <f aca="false">IFERROR(__xludf.dummyfunction("""COMPUTED_VALUE"""),"Vishnu T.G")</f>
        <v>Vishnu T.G</v>
      </c>
      <c r="C180" s="2" t="str">
        <f aca="false">IFERROR(__xludf.dummyfunction("""COMPUTED_VALUE"""),"Wellness &amp; Yoga")</f>
        <v>Wellness &amp; Yoga</v>
      </c>
      <c r="D180" s="2" t="str">
        <f aca="false">IFERROR(__xludf.dummyfunction("""COMPUTED_VALUE"""),"Kanha")</f>
        <v>Kanha</v>
      </c>
      <c r="E180" s="16" t="n">
        <f aca="false">IFERROR(__xludf.dummyfunction("""COMPUTED_VALUE"""),43752)</f>
        <v>43752</v>
      </c>
      <c r="F180" s="9" t="n">
        <f aca="false">IFERROR(__xludf.dummyfunction("""COMPUTED_VALUE"""),25000)</f>
        <v>25000</v>
      </c>
      <c r="G180" s="2" t="n">
        <f aca="false">IFERROR(__xludf.dummyfunction("""COMPUTED_VALUE"""),30)</f>
        <v>30</v>
      </c>
      <c r="H180" s="2" t="n">
        <f aca="false">IFERROR(__xludf.dummyfunction("""COMPUTED_VALUE"""),30)</f>
        <v>30</v>
      </c>
      <c r="I180" s="9" t="n">
        <f aca="false">IFERROR(__xludf.dummyfunction("""COMPUTED_VALUE"""),300000)</f>
        <v>300000</v>
      </c>
      <c r="J180" s="9" t="n">
        <f aca="false">IFERROR(__xludf.dummyfunction("""COMPUTED_VALUE"""),213)</f>
        <v>213</v>
      </c>
      <c r="K180" s="9"/>
      <c r="L180" s="9" t="n">
        <f aca="false">IFERROR(__xludf.dummyfunction("""COMPUTED_VALUE"""),0)</f>
        <v>0</v>
      </c>
      <c r="M180" s="9"/>
    </row>
    <row r="181" customFormat="false" ht="15.75" hidden="false" customHeight="false" outlineLevel="0" collapsed="false">
      <c r="A181" s="2" t="str">
        <f aca="false">IFERROR(__xludf.dummyfunction("""COMPUTED_VALUE"""),"HET/KAN/1368")</f>
        <v>HET/KAN/1368</v>
      </c>
      <c r="B181" s="2" t="str">
        <f aca="false">IFERROR(__xludf.dummyfunction("""COMPUTED_VALUE"""),"Surya Gayathri")</f>
        <v>Surya Gayathri</v>
      </c>
      <c r="C181" s="2" t="str">
        <f aca="false">IFERROR(__xludf.dummyfunction("""COMPUTED_VALUE"""),"Wellness &amp; Yoga")</f>
        <v>Wellness &amp; Yoga</v>
      </c>
      <c r="D181" s="2" t="str">
        <f aca="false">IFERROR(__xludf.dummyfunction("""COMPUTED_VALUE"""),"Kanha")</f>
        <v>Kanha</v>
      </c>
      <c r="E181" s="16" t="n">
        <f aca="false">IFERROR(__xludf.dummyfunction("""COMPUTED_VALUE"""),43789)</f>
        <v>43789</v>
      </c>
      <c r="F181" s="9" t="n">
        <f aca="false">IFERROR(__xludf.dummyfunction("""COMPUTED_VALUE"""),25000)</f>
        <v>25000</v>
      </c>
      <c r="G181" s="2" t="n">
        <f aca="false">IFERROR(__xludf.dummyfunction("""COMPUTED_VALUE"""),30)</f>
        <v>30</v>
      </c>
      <c r="H181" s="2" t="n">
        <f aca="false">IFERROR(__xludf.dummyfunction("""COMPUTED_VALUE"""),30)</f>
        <v>30</v>
      </c>
      <c r="I181" s="9" t="n">
        <f aca="false">IFERROR(__xludf.dummyfunction("""COMPUTED_VALUE"""),300000)</f>
        <v>300000</v>
      </c>
      <c r="J181" s="9" t="n">
        <f aca="false">IFERROR(__xludf.dummyfunction("""COMPUTED_VALUE"""),0)</f>
        <v>0</v>
      </c>
      <c r="K181" s="9"/>
      <c r="L181" s="9" t="n">
        <f aca="false">IFERROR(__xludf.dummyfunction("""COMPUTED_VALUE"""),0)</f>
        <v>0</v>
      </c>
      <c r="M181" s="9"/>
    </row>
    <row r="182" customFormat="false" ht="15.75" hidden="false" customHeight="false" outlineLevel="0" collapsed="false">
      <c r="A182" s="2" t="str">
        <f aca="false">IFERROR(__xludf.dummyfunction("""COMPUTED_VALUE"""),"HET/KAN/1353")</f>
        <v>HET/KAN/1353</v>
      </c>
      <c r="B182" s="2" t="str">
        <f aca="false">IFERROR(__xludf.dummyfunction("""COMPUTED_VALUE"""),"Shubhangi Agarwal")</f>
        <v>Shubhangi Agarwal</v>
      </c>
      <c r="C182" s="2" t="str">
        <f aca="false">IFERROR(__xludf.dummyfunction("""COMPUTED_VALUE"""),"Wellness &amp; Yoga")</f>
        <v>Wellness &amp; Yoga</v>
      </c>
      <c r="D182" s="2" t="str">
        <f aca="false">IFERROR(__xludf.dummyfunction("""COMPUTED_VALUE"""),"Kanha")</f>
        <v>Kanha</v>
      </c>
      <c r="E182" s="16" t="n">
        <f aca="false">IFERROR(__xludf.dummyfunction("""COMPUTED_VALUE"""),43800)</f>
        <v>43800</v>
      </c>
      <c r="F182" s="9" t="n">
        <f aca="false">IFERROR(__xludf.dummyfunction("""COMPUTED_VALUE"""),15000)</f>
        <v>15000</v>
      </c>
      <c r="G182" s="2" t="n">
        <f aca="false">IFERROR(__xludf.dummyfunction("""COMPUTED_VALUE"""),30)</f>
        <v>30</v>
      </c>
      <c r="H182" s="2" t="n">
        <f aca="false">IFERROR(__xludf.dummyfunction("""COMPUTED_VALUE"""),30)</f>
        <v>30</v>
      </c>
      <c r="I182" s="9" t="n">
        <f aca="false">IFERROR(__xludf.dummyfunction("""COMPUTED_VALUE"""),180000)</f>
        <v>180000</v>
      </c>
      <c r="J182" s="9" t="n">
        <f aca="false">IFERROR(__xludf.dummyfunction("""COMPUTED_VALUE"""),52)</f>
        <v>52</v>
      </c>
      <c r="K182" s="9"/>
      <c r="L182" s="9" t="n">
        <f aca="false">IFERROR(__xludf.dummyfunction("""COMPUTED_VALUE"""),0)</f>
        <v>0</v>
      </c>
      <c r="M182" s="9"/>
    </row>
    <row r="183" customFormat="false" ht="15.75" hidden="false" customHeight="false" outlineLevel="0" collapsed="false">
      <c r="A183" s="2" t="str">
        <f aca="false">IFERROR(__xludf.dummyfunction("""COMPUTED_VALUE"""),"HET/KAN/1354")</f>
        <v>HET/KAN/1354</v>
      </c>
      <c r="B183" s="2" t="str">
        <f aca="false">IFERROR(__xludf.dummyfunction("""COMPUTED_VALUE"""),"Vaibhav Balasaheb More")</f>
        <v>Vaibhav Balasaheb More</v>
      </c>
      <c r="C183" s="2" t="str">
        <f aca="false">IFERROR(__xludf.dummyfunction("""COMPUTED_VALUE"""),"Wellness &amp; Yoga")</f>
        <v>Wellness &amp; Yoga</v>
      </c>
      <c r="D183" s="2" t="str">
        <f aca="false">IFERROR(__xludf.dummyfunction("""COMPUTED_VALUE"""),"Kanha")</f>
        <v>Kanha</v>
      </c>
      <c r="E183" s="16" t="n">
        <f aca="false">IFERROR(__xludf.dummyfunction("""COMPUTED_VALUE"""),43800)</f>
        <v>43800</v>
      </c>
      <c r="F183" s="9" t="n">
        <f aca="false">IFERROR(__xludf.dummyfunction("""COMPUTED_VALUE"""),15000)</f>
        <v>15000</v>
      </c>
      <c r="G183" s="2" t="n">
        <f aca="false">IFERROR(__xludf.dummyfunction("""COMPUTED_VALUE"""),30)</f>
        <v>30</v>
      </c>
      <c r="H183" s="2" t="n">
        <f aca="false">IFERROR(__xludf.dummyfunction("""COMPUTED_VALUE"""),30)</f>
        <v>30</v>
      </c>
      <c r="I183" s="9" t="n">
        <f aca="false">IFERROR(__xludf.dummyfunction("""COMPUTED_VALUE"""),180000)</f>
        <v>180000</v>
      </c>
      <c r="J183" s="9" t="n">
        <f aca="false">IFERROR(__xludf.dummyfunction("""COMPUTED_VALUE"""),52)</f>
        <v>52</v>
      </c>
      <c r="K183" s="9"/>
      <c r="L183" s="9" t="n">
        <f aca="false">IFERROR(__xludf.dummyfunction("""COMPUTED_VALUE"""),0)</f>
        <v>0</v>
      </c>
      <c r="M183" s="9"/>
    </row>
    <row r="184" customFormat="false" ht="15.75" hidden="false" customHeight="false" outlineLevel="0" collapsed="false">
      <c r="A184" s="2" t="str">
        <f aca="false">IFERROR(__xludf.dummyfunction("""COMPUTED_VALUE"""),"HET/KAN/1379")</f>
        <v>HET/KAN/1379</v>
      </c>
      <c r="B184" s="2" t="str">
        <f aca="false">IFERROR(__xludf.dummyfunction("""COMPUTED_VALUE"""),"Sneha Vijay Ghantoji")</f>
        <v>Sneha Vijay Ghantoji</v>
      </c>
      <c r="C184" s="2" t="str">
        <f aca="false">IFERROR(__xludf.dummyfunction("""COMPUTED_VALUE"""),"HST")</f>
        <v>HST</v>
      </c>
      <c r="D184" s="2" t="str">
        <f aca="false">IFERROR(__xludf.dummyfunction("""COMPUTED_VALUE"""),"Kanha")</f>
        <v>Kanha</v>
      </c>
      <c r="E184" s="16" t="n">
        <f aca="false">IFERROR(__xludf.dummyfunction("""COMPUTED_VALUE"""),43843)</f>
        <v>43843</v>
      </c>
      <c r="F184" s="9" t="n">
        <f aca="false">IFERROR(__xludf.dummyfunction("""COMPUTED_VALUE"""),25000)</f>
        <v>25000</v>
      </c>
      <c r="G184" s="2" t="n">
        <f aca="false">IFERROR(__xludf.dummyfunction("""COMPUTED_VALUE"""),30)</f>
        <v>30</v>
      </c>
      <c r="H184" s="2" t="n">
        <f aca="false">IFERROR(__xludf.dummyfunction("""COMPUTED_VALUE"""),30)</f>
        <v>30</v>
      </c>
      <c r="I184" s="9" t="n">
        <f aca="false">IFERROR(__xludf.dummyfunction("""COMPUTED_VALUE"""),300000)</f>
        <v>300000</v>
      </c>
      <c r="J184" s="9" t="n">
        <f aca="false">IFERROR(__xludf.dummyfunction("""COMPUTED_VALUE"""),317)</f>
        <v>317</v>
      </c>
      <c r="K184" s="9"/>
      <c r="L184" s="9" t="n">
        <f aca="false">IFERROR(__xludf.dummyfunction("""COMPUTED_VALUE"""),0)</f>
        <v>0</v>
      </c>
      <c r="M184" s="9"/>
    </row>
    <row r="185" customFormat="false" ht="15.75" hidden="false" customHeight="false" outlineLevel="0" collapsed="false">
      <c r="A185" s="2" t="str">
        <f aca="false">IFERROR(__xludf.dummyfunction("""COMPUTED_VALUE"""),"HET/KAN/1382")</f>
        <v>HET/KAN/1382</v>
      </c>
      <c r="B185" s="2" t="str">
        <f aca="false">IFERROR(__xludf.dummyfunction("""COMPUTED_VALUE"""),"Allam Venkata Anirudh Bose")</f>
        <v>Allam Venkata Anirudh Bose</v>
      </c>
      <c r="C185" s="2" t="str">
        <f aca="false">IFERROR(__xludf.dummyfunction("""COMPUTED_VALUE"""),"HST")</f>
        <v>HST</v>
      </c>
      <c r="D185" s="2" t="str">
        <f aca="false">IFERROR(__xludf.dummyfunction("""COMPUTED_VALUE"""),"Kanha")</f>
        <v>Kanha</v>
      </c>
      <c r="E185" s="16" t="n">
        <f aca="false">IFERROR(__xludf.dummyfunction("""COMPUTED_VALUE"""),43891)</f>
        <v>43891</v>
      </c>
      <c r="F185" s="9" t="n">
        <f aca="false">IFERROR(__xludf.dummyfunction("""COMPUTED_VALUE"""),42000)</f>
        <v>42000</v>
      </c>
      <c r="G185" s="2" t="n">
        <f aca="false">IFERROR(__xludf.dummyfunction("""COMPUTED_VALUE"""),30)</f>
        <v>30</v>
      </c>
      <c r="H185" s="2" t="n">
        <f aca="false">IFERROR(__xludf.dummyfunction("""COMPUTED_VALUE"""),30)</f>
        <v>30</v>
      </c>
      <c r="I185" s="9" t="n">
        <f aca="false">IFERROR(__xludf.dummyfunction("""COMPUTED_VALUE"""),504000)</f>
        <v>504000</v>
      </c>
      <c r="J185" s="9" t="n">
        <f aca="false">IFERROR(__xludf.dummyfunction("""COMPUTED_VALUE"""),0)</f>
        <v>0</v>
      </c>
      <c r="K185" s="9"/>
      <c r="L185" s="9" t="n">
        <f aca="false">IFERROR(__xludf.dummyfunction("""COMPUTED_VALUE"""),0)</f>
        <v>0</v>
      </c>
      <c r="M185" s="9"/>
    </row>
    <row r="186" customFormat="false" ht="15.75" hidden="false" customHeight="false" outlineLevel="0" collapsed="false">
      <c r="A186" s="2" t="str">
        <f aca="false">IFERROR(__xludf.dummyfunction("""COMPUTED_VALUE"""),"HFI/KAN/0933")</f>
        <v>HFI/KAN/0933</v>
      </c>
      <c r="B186" s="2" t="str">
        <f aca="false">IFERROR(__xludf.dummyfunction("""COMPUTED_VALUE"""),"Kamakshi Selvakumaran")</f>
        <v>Kamakshi Selvakumaran</v>
      </c>
      <c r="C186" s="2" t="str">
        <f aca="false">IFERROR(__xludf.dummyfunction("""COMPUTED_VALUE"""),"HST")</f>
        <v>HST</v>
      </c>
      <c r="D186" s="2" t="str">
        <f aca="false">IFERROR(__xludf.dummyfunction("""COMPUTED_VALUE"""),"Chennai")</f>
        <v>Chennai</v>
      </c>
      <c r="E186" s="16" t="n">
        <f aca="false">IFERROR(__xludf.dummyfunction("""COMPUTED_VALUE"""),43101)</f>
        <v>43101</v>
      </c>
      <c r="F186" s="9" t="n">
        <f aca="false">IFERROR(__xludf.dummyfunction("""COMPUTED_VALUE"""),27500)</f>
        <v>27500</v>
      </c>
      <c r="G186" s="2" t="n">
        <f aca="false">IFERROR(__xludf.dummyfunction("""COMPUTED_VALUE"""),30)</f>
        <v>30</v>
      </c>
      <c r="H186" s="2" t="n">
        <f aca="false">IFERROR(__xludf.dummyfunction("""COMPUTED_VALUE"""),30)</f>
        <v>30</v>
      </c>
      <c r="I186" s="9" t="n">
        <f aca="false">IFERROR(__xludf.dummyfunction("""COMPUTED_VALUE"""),330000)</f>
        <v>330000</v>
      </c>
      <c r="J186" s="9" t="n">
        <f aca="false">IFERROR(__xludf.dummyfunction("""COMPUTED_VALUE"""),0)</f>
        <v>0</v>
      </c>
      <c r="K186" s="9"/>
      <c r="L186" s="9" t="n">
        <f aca="false">IFERROR(__xludf.dummyfunction("""COMPUTED_VALUE"""),0)</f>
        <v>0</v>
      </c>
      <c r="M186" s="9"/>
    </row>
    <row r="187" customFormat="false" ht="15.75" hidden="false" customHeight="false" outlineLevel="0" collapsed="false">
      <c r="A187" s="2" t="str">
        <f aca="false">IFERROR(__xludf.dummyfunction("""COMPUTED_VALUE"""),"HFI/KAN/0934")</f>
        <v>HFI/KAN/0934</v>
      </c>
      <c r="B187" s="2" t="str">
        <f aca="false">IFERROR(__xludf.dummyfunction("""COMPUTED_VALUE"""),"Sangeetha Peddagopu")</f>
        <v>Sangeetha Peddagopu</v>
      </c>
      <c r="C187" s="2" t="str">
        <f aca="false">IFERROR(__xludf.dummyfunction("""COMPUTED_VALUE"""),"HST")</f>
        <v>HST</v>
      </c>
      <c r="D187" s="2" t="str">
        <f aca="false">IFERROR(__xludf.dummyfunction("""COMPUTED_VALUE"""),"Kanha")</f>
        <v>Kanha</v>
      </c>
      <c r="E187" s="16" t="n">
        <f aca="false">IFERROR(__xludf.dummyfunction("""COMPUTED_VALUE"""),43101)</f>
        <v>43101</v>
      </c>
      <c r="F187" s="9" t="n">
        <f aca="false">IFERROR(__xludf.dummyfunction("""COMPUTED_VALUE"""),27500)</f>
        <v>27500</v>
      </c>
      <c r="G187" s="2" t="n">
        <f aca="false">IFERROR(__xludf.dummyfunction("""COMPUTED_VALUE"""),30)</f>
        <v>30</v>
      </c>
      <c r="H187" s="2" t="n">
        <f aca="false">IFERROR(__xludf.dummyfunction("""COMPUTED_VALUE"""),30)</f>
        <v>30</v>
      </c>
      <c r="I187" s="9" t="n">
        <f aca="false">IFERROR(__xludf.dummyfunction("""COMPUTED_VALUE"""),330000)</f>
        <v>330000</v>
      </c>
      <c r="J187" s="9" t="n">
        <f aca="false">IFERROR(__xludf.dummyfunction("""COMPUTED_VALUE"""),399)</f>
        <v>399</v>
      </c>
      <c r="K187" s="9"/>
      <c r="L187" s="9" t="n">
        <f aca="false">IFERROR(__xludf.dummyfunction("""COMPUTED_VALUE"""),0)</f>
        <v>0</v>
      </c>
      <c r="M187" s="9"/>
    </row>
    <row r="188" customFormat="false" ht="15.75" hidden="false" customHeight="false" outlineLevel="0" collapsed="false">
      <c r="A188" s="2" t="str">
        <f aca="false">IFERROR(__xludf.dummyfunction("""COMPUTED_VALUE"""),"HET/KAN/1102")</f>
        <v>HET/KAN/1102</v>
      </c>
      <c r="B188" s="2" t="str">
        <f aca="false">IFERROR(__xludf.dummyfunction("""COMPUTED_VALUE"""),"Vidhya S Vijayan")</f>
        <v>Vidhya S Vijayan</v>
      </c>
      <c r="C188" s="2" t="str">
        <f aca="false">IFERROR(__xludf.dummyfunction("""COMPUTED_VALUE"""),"Wellness &amp; Yoga")</f>
        <v>Wellness &amp; Yoga</v>
      </c>
      <c r="D188" s="2" t="str">
        <f aca="false">IFERROR(__xludf.dummyfunction("""COMPUTED_VALUE"""),"Kanha")</f>
        <v>Kanha</v>
      </c>
      <c r="E188" s="16" t="n">
        <f aca="false">IFERROR(__xludf.dummyfunction("""COMPUTED_VALUE"""),44038)</f>
        <v>44038</v>
      </c>
      <c r="F188" s="9" t="n">
        <f aca="false">IFERROR(__xludf.dummyfunction("""COMPUTED_VALUE"""),18153)</f>
        <v>18153</v>
      </c>
      <c r="G188" s="2" t="n">
        <f aca="false">IFERROR(__xludf.dummyfunction("""COMPUTED_VALUE"""),30)</f>
        <v>30</v>
      </c>
      <c r="H188" s="2" t="n">
        <f aca="false">IFERROR(__xludf.dummyfunction("""COMPUTED_VALUE"""),30)</f>
        <v>30</v>
      </c>
      <c r="I188" s="9" t="n">
        <f aca="false">IFERROR(__xludf.dummyfunction("""COMPUTED_VALUE"""),217836)</f>
        <v>217836</v>
      </c>
      <c r="J188" s="9" t="n">
        <f aca="false">IFERROR(__xludf.dummyfunction("""COMPUTED_VALUE"""),66)</f>
        <v>66</v>
      </c>
      <c r="K188" s="9"/>
      <c r="L188" s="9" t="n">
        <f aca="false">IFERROR(__xludf.dummyfunction("""COMPUTED_VALUE"""),0)</f>
        <v>0</v>
      </c>
      <c r="M188" s="9"/>
    </row>
    <row r="189" customFormat="false" ht="15.75" hidden="false" customHeight="false" outlineLevel="0" collapsed="false">
      <c r="A189" s="2" t="str">
        <f aca="false">IFERROR(__xludf.dummyfunction("""COMPUTED_VALUE"""),"HET/KAN/1090")</f>
        <v>HET/KAN/1090</v>
      </c>
      <c r="B189" s="2" t="str">
        <f aca="false">IFERROR(__xludf.dummyfunction("""COMPUTED_VALUE"""),"Gandham Sreelekha")</f>
        <v>Gandham Sreelekha</v>
      </c>
      <c r="C189" s="2" t="str">
        <f aca="false">IFERROR(__xludf.dummyfunction("""COMPUTED_VALUE"""),"Asst.Manager-PRO")</f>
        <v>Asst.Manager-PRO</v>
      </c>
      <c r="D189" s="2" t="str">
        <f aca="false">IFERROR(__xludf.dummyfunction("""COMPUTED_VALUE"""),"Kanha")</f>
        <v>Kanha</v>
      </c>
      <c r="E189" s="16" t="n">
        <f aca="false">IFERROR(__xludf.dummyfunction("""COMPUTED_VALUE"""),43565)</f>
        <v>43565</v>
      </c>
      <c r="F189" s="9" t="n">
        <f aca="false">IFERROR(__xludf.dummyfunction("""COMPUTED_VALUE"""),35000)</f>
        <v>35000</v>
      </c>
      <c r="G189" s="2" t="n">
        <f aca="false">IFERROR(__xludf.dummyfunction("""COMPUTED_VALUE"""),30)</f>
        <v>30</v>
      </c>
      <c r="H189" s="2" t="n">
        <f aca="false">IFERROR(__xludf.dummyfunction("""COMPUTED_VALUE"""),30)</f>
        <v>30</v>
      </c>
      <c r="I189" s="9" t="n">
        <f aca="false">IFERROR(__xludf.dummyfunction("""COMPUTED_VALUE"""),420000)</f>
        <v>420000</v>
      </c>
      <c r="J189" s="9" t="n">
        <f aca="false">IFERROR(__xludf.dummyfunction("""COMPUTED_VALUE"""),364)</f>
        <v>364</v>
      </c>
      <c r="K189" s="9"/>
      <c r="L189" s="9"/>
      <c r="M189" s="9"/>
    </row>
    <row r="190" customFormat="false" ht="15.75" hidden="false" customHeight="false" outlineLevel="0" collapsed="false">
      <c r="A190" s="2" t="str">
        <f aca="false">IFERROR(__xludf.dummyfunction("""COMPUTED_VALUE"""),"HET/KAN/1089")</f>
        <v>HET/KAN/1089</v>
      </c>
      <c r="B190" s="2" t="str">
        <f aca="false">IFERROR(__xludf.dummyfunction("""COMPUTED_VALUE"""),"Purnachandrika")</f>
        <v>Purnachandrika</v>
      </c>
      <c r="C190" s="2" t="str">
        <f aca="false">IFERROR(__xludf.dummyfunction("""COMPUTED_VALUE"""),"Faculty")</f>
        <v>Faculty</v>
      </c>
      <c r="D190" s="2" t="str">
        <f aca="false">IFERROR(__xludf.dummyfunction("""COMPUTED_VALUE"""),"Kanha")</f>
        <v>Kanha</v>
      </c>
      <c r="E190" s="16" t="n">
        <f aca="false">IFERROR(__xludf.dummyfunction("""COMPUTED_VALUE"""),43565)</f>
        <v>43565</v>
      </c>
      <c r="F190" s="9" t="n">
        <f aca="false">IFERROR(__xludf.dummyfunction("""COMPUTED_VALUE"""),36000)</f>
        <v>36000</v>
      </c>
      <c r="G190" s="2" t="n">
        <f aca="false">IFERROR(__xludf.dummyfunction("""COMPUTED_VALUE"""),30)</f>
        <v>30</v>
      </c>
      <c r="H190" s="2" t="n">
        <f aca="false">IFERROR(__xludf.dummyfunction("""COMPUTED_VALUE"""),30)</f>
        <v>30</v>
      </c>
      <c r="I190" s="9" t="n">
        <f aca="false">IFERROR(__xludf.dummyfunction("""COMPUTED_VALUE"""),432000)</f>
        <v>432000</v>
      </c>
      <c r="J190" s="9" t="n">
        <f aca="false">IFERROR(__xludf.dummyfunction("""COMPUTED_VALUE"""),364)</f>
        <v>364</v>
      </c>
      <c r="K190" s="9"/>
      <c r="L190" s="9"/>
      <c r="M190" s="9"/>
    </row>
    <row r="191" customFormat="false" ht="15.75" hidden="false" customHeight="false" outlineLevel="0" collapsed="false">
      <c r="A191" s="2" t="str">
        <f aca="false">IFERROR(__xludf.dummyfunction("""COMPUTED_VALUE"""),"HET/KAN/1094")</f>
        <v>HET/KAN/1094</v>
      </c>
      <c r="B191" s="2" t="str">
        <f aca="false">IFERROR(__xludf.dummyfunction("""COMPUTED_VALUE"""),"Manisha Singh ")</f>
        <v>Manisha Singh </v>
      </c>
      <c r="C191" s="2" t="str">
        <f aca="false">IFERROR(__xludf.dummyfunction("""COMPUTED_VALUE"""),"Faculty")</f>
        <v>Faculty</v>
      </c>
      <c r="D191" s="2" t="str">
        <f aca="false">IFERROR(__xludf.dummyfunction("""COMPUTED_VALUE"""),"Kanha")</f>
        <v>Kanha</v>
      </c>
      <c r="E191" s="16" t="n">
        <f aca="false">IFERROR(__xludf.dummyfunction("""COMPUTED_VALUE"""),43607)</f>
        <v>43607</v>
      </c>
      <c r="F191" s="9" t="n">
        <f aca="false">IFERROR(__xludf.dummyfunction("""COMPUTED_VALUE"""),25000)</f>
        <v>25000</v>
      </c>
      <c r="G191" s="2" t="n">
        <f aca="false">IFERROR(__xludf.dummyfunction("""COMPUTED_VALUE"""),30)</f>
        <v>30</v>
      </c>
      <c r="H191" s="2" t="n">
        <f aca="false">IFERROR(__xludf.dummyfunction("""COMPUTED_VALUE"""),30)</f>
        <v>30</v>
      </c>
      <c r="I191" s="9" t="n">
        <f aca="false">IFERROR(__xludf.dummyfunction("""COMPUTED_VALUE"""),300000)</f>
        <v>300000</v>
      </c>
      <c r="J191" s="9" t="n">
        <f aca="false">IFERROR(__xludf.dummyfunction("""COMPUTED_VALUE"""),385)</f>
        <v>385</v>
      </c>
      <c r="K191" s="9"/>
      <c r="L191" s="9"/>
      <c r="M191" s="9"/>
    </row>
    <row r="192" customFormat="false" ht="15.75" hidden="false" customHeight="false" outlineLevel="0" collapsed="false">
      <c r="A192" s="2" t="str">
        <f aca="false">IFERROR(__xludf.dummyfunction("""COMPUTED_VALUE"""),"HET/KAN/1095")</f>
        <v>HET/KAN/1095</v>
      </c>
      <c r="B192" s="2" t="str">
        <f aca="false">IFERROR(__xludf.dummyfunction("""COMPUTED_VALUE"""),"Upama Rajasekhar")</f>
        <v>Upama Rajasekhar</v>
      </c>
      <c r="C192" s="2" t="str">
        <f aca="false">IFERROR(__xludf.dummyfunction("""COMPUTED_VALUE"""),"Faculty")</f>
        <v>Faculty</v>
      </c>
      <c r="D192" s="2" t="str">
        <f aca="false">IFERROR(__xludf.dummyfunction("""COMPUTED_VALUE"""),"Kanha")</f>
        <v>Kanha</v>
      </c>
      <c r="E192" s="16" t="n">
        <f aca="false">IFERROR(__xludf.dummyfunction("""COMPUTED_VALUE"""),43607)</f>
        <v>43607</v>
      </c>
      <c r="F192" s="9" t="n">
        <f aca="false">IFERROR(__xludf.dummyfunction("""COMPUTED_VALUE"""),25000)</f>
        <v>25000</v>
      </c>
      <c r="G192" s="2" t="n">
        <f aca="false">IFERROR(__xludf.dummyfunction("""COMPUTED_VALUE"""),30)</f>
        <v>30</v>
      </c>
      <c r="H192" s="2" t="n">
        <f aca="false">IFERROR(__xludf.dummyfunction("""COMPUTED_VALUE"""),30)</f>
        <v>30</v>
      </c>
      <c r="I192" s="9" t="n">
        <f aca="false">IFERROR(__xludf.dummyfunction("""COMPUTED_VALUE"""),300000)</f>
        <v>300000</v>
      </c>
      <c r="J192" s="9" t="n">
        <f aca="false">IFERROR(__xludf.dummyfunction("""COMPUTED_VALUE"""),100)</f>
        <v>100</v>
      </c>
      <c r="K192" s="9"/>
      <c r="L192" s="9"/>
      <c r="M192" s="9"/>
    </row>
    <row r="193" customFormat="false" ht="15.75" hidden="false" customHeight="false" outlineLevel="0" collapsed="false">
      <c r="A193" s="2" t="str">
        <f aca="false">IFERROR(__xludf.dummyfunction("""COMPUTED_VALUE"""),"HET/KAN/1096")</f>
        <v>HET/KAN/1096</v>
      </c>
      <c r="B193" s="2" t="str">
        <f aca="false">IFERROR(__xludf.dummyfunction("""COMPUTED_VALUE"""),"Sowmya Sriram")</f>
        <v>Sowmya Sriram</v>
      </c>
      <c r="C193" s="2" t="str">
        <f aca="false">IFERROR(__xludf.dummyfunction("""COMPUTED_VALUE"""),"Faculty")</f>
        <v>Faculty</v>
      </c>
      <c r="D193" s="2" t="str">
        <f aca="false">IFERROR(__xludf.dummyfunction("""COMPUTED_VALUE"""),"Kanha")</f>
        <v>Kanha</v>
      </c>
      <c r="E193" s="16" t="n">
        <f aca="false">IFERROR(__xludf.dummyfunction("""COMPUTED_VALUE"""),43607)</f>
        <v>43607</v>
      </c>
      <c r="F193" s="9" t="n">
        <f aca="false">IFERROR(__xludf.dummyfunction("""COMPUTED_VALUE"""),16000)</f>
        <v>16000</v>
      </c>
      <c r="G193" s="2" t="n">
        <f aca="false">IFERROR(__xludf.dummyfunction("""COMPUTED_VALUE"""),30)</f>
        <v>30</v>
      </c>
      <c r="H193" s="2" t="n">
        <f aca="false">IFERROR(__xludf.dummyfunction("""COMPUTED_VALUE"""),30)</f>
        <v>30</v>
      </c>
      <c r="I193" s="9" t="n">
        <f aca="false">IFERROR(__xludf.dummyfunction("""COMPUTED_VALUE"""),192000)</f>
        <v>192000</v>
      </c>
      <c r="J193" s="9" t="n">
        <f aca="false">IFERROR(__xludf.dummyfunction("""COMPUTED_VALUE"""),269)</f>
        <v>269</v>
      </c>
      <c r="K193" s="9"/>
      <c r="L193" s="9"/>
      <c r="M193" s="9"/>
    </row>
    <row r="194" customFormat="false" ht="15.75" hidden="false" customHeight="false" outlineLevel="0" collapsed="false">
      <c r="A194" s="2" t="str">
        <f aca="false">IFERROR(__xludf.dummyfunction("""COMPUTED_VALUE"""),"HET/KAN/1097")</f>
        <v>HET/KAN/1097</v>
      </c>
      <c r="B194" s="2" t="str">
        <f aca="false">IFERROR(__xludf.dummyfunction("""COMPUTED_VALUE"""),"Sunitha. G")</f>
        <v>Sunitha. G</v>
      </c>
      <c r="C194" s="2" t="str">
        <f aca="false">IFERROR(__xludf.dummyfunction("""COMPUTED_VALUE"""),"Faculty")</f>
        <v>Faculty</v>
      </c>
      <c r="D194" s="2" t="str">
        <f aca="false">IFERROR(__xludf.dummyfunction("""COMPUTED_VALUE"""),"Kanha")</f>
        <v>Kanha</v>
      </c>
      <c r="E194" s="16" t="n">
        <f aca="false">IFERROR(__xludf.dummyfunction("""COMPUTED_VALUE"""),43607)</f>
        <v>43607</v>
      </c>
      <c r="F194" s="9" t="n">
        <f aca="false">IFERROR(__xludf.dummyfunction("""COMPUTED_VALUE"""),25000)</f>
        <v>25000</v>
      </c>
      <c r="G194" s="2" t="n">
        <f aca="false">IFERROR(__xludf.dummyfunction("""COMPUTED_VALUE"""),30)</f>
        <v>30</v>
      </c>
      <c r="H194" s="2" t="n">
        <f aca="false">IFERROR(__xludf.dummyfunction("""COMPUTED_VALUE"""),30)</f>
        <v>30</v>
      </c>
      <c r="I194" s="9" t="n">
        <f aca="false">IFERROR(__xludf.dummyfunction("""COMPUTED_VALUE"""),300000)</f>
        <v>300000</v>
      </c>
      <c r="J194" s="9" t="n">
        <f aca="false">IFERROR(__xludf.dummyfunction("""COMPUTED_VALUE"""),431)</f>
        <v>431</v>
      </c>
      <c r="K194" s="9"/>
      <c r="L194" s="9"/>
      <c r="M194" s="9"/>
    </row>
    <row r="195" customFormat="false" ht="15.75" hidden="false" customHeight="false" outlineLevel="0" collapsed="false">
      <c r="A195" s="2" t="str">
        <f aca="false">IFERROR(__xludf.dummyfunction("""COMPUTED_VALUE"""),"HET/KAN/1098")</f>
        <v>HET/KAN/1098</v>
      </c>
      <c r="B195" s="2" t="str">
        <f aca="false">IFERROR(__xludf.dummyfunction("""COMPUTED_VALUE"""),"Radhika Ramanathan")</f>
        <v>Radhika Ramanathan</v>
      </c>
      <c r="C195" s="2" t="str">
        <f aca="false">IFERROR(__xludf.dummyfunction("""COMPUTED_VALUE"""),"Faculty")</f>
        <v>Faculty</v>
      </c>
      <c r="D195" s="2" t="str">
        <f aca="false">IFERROR(__xludf.dummyfunction("""COMPUTED_VALUE"""),"Kanha")</f>
        <v>Kanha</v>
      </c>
      <c r="E195" s="16" t="n">
        <f aca="false">IFERROR(__xludf.dummyfunction("""COMPUTED_VALUE"""),43607)</f>
        <v>43607</v>
      </c>
      <c r="F195" s="9" t="n">
        <f aca="false">IFERROR(__xludf.dummyfunction("""COMPUTED_VALUE"""),30000)</f>
        <v>30000</v>
      </c>
      <c r="G195" s="2" t="n">
        <f aca="false">IFERROR(__xludf.dummyfunction("""COMPUTED_VALUE"""),30)</f>
        <v>30</v>
      </c>
      <c r="H195" s="2" t="n">
        <f aca="false">IFERROR(__xludf.dummyfunction("""COMPUTED_VALUE"""),30)</f>
        <v>30</v>
      </c>
      <c r="I195" s="9" t="n">
        <f aca="false">IFERROR(__xludf.dummyfunction("""COMPUTED_VALUE"""),360000)</f>
        <v>360000</v>
      </c>
      <c r="J195" s="9" t="n">
        <f aca="false">IFERROR(__xludf.dummyfunction("""COMPUTED_VALUE"""),100)</f>
        <v>100</v>
      </c>
      <c r="K195" s="9"/>
      <c r="L195" s="9"/>
      <c r="M195" s="9"/>
    </row>
    <row r="196" customFormat="false" ht="15.75" hidden="false" customHeight="false" outlineLevel="0" collapsed="false">
      <c r="A196" s="2" t="str">
        <f aca="false">IFERROR(__xludf.dummyfunction("""COMPUTED_VALUE"""),"HET/KAN/1099")</f>
        <v>HET/KAN/1099</v>
      </c>
      <c r="B196" s="2" t="str">
        <f aca="false">IFERROR(__xludf.dummyfunction("""COMPUTED_VALUE"""),"Bhuvaneshwari")</f>
        <v>Bhuvaneshwari</v>
      </c>
      <c r="C196" s="2" t="str">
        <f aca="false">IFERROR(__xludf.dummyfunction("""COMPUTED_VALUE"""),"Faculty")</f>
        <v>Faculty</v>
      </c>
      <c r="D196" s="2" t="str">
        <f aca="false">IFERROR(__xludf.dummyfunction("""COMPUTED_VALUE"""),"Kanha")</f>
        <v>Kanha</v>
      </c>
      <c r="E196" s="16" t="n">
        <f aca="false">IFERROR(__xludf.dummyfunction("""COMPUTED_VALUE"""),43607)</f>
        <v>43607</v>
      </c>
      <c r="F196" s="9" t="n">
        <f aca="false">IFERROR(__xludf.dummyfunction("""COMPUTED_VALUE"""),22000)</f>
        <v>22000</v>
      </c>
      <c r="G196" s="2" t="n">
        <f aca="false">IFERROR(__xludf.dummyfunction("""COMPUTED_VALUE"""),30)</f>
        <v>30</v>
      </c>
      <c r="H196" s="2" t="n">
        <f aca="false">IFERROR(__xludf.dummyfunction("""COMPUTED_VALUE"""),30)</f>
        <v>30</v>
      </c>
      <c r="I196" s="9" t="n">
        <f aca="false">IFERROR(__xludf.dummyfunction("""COMPUTED_VALUE"""),264000)</f>
        <v>264000</v>
      </c>
      <c r="J196" s="9" t="n">
        <f aca="false">IFERROR(__xludf.dummyfunction("""COMPUTED_VALUE"""),100)</f>
        <v>100</v>
      </c>
      <c r="K196" s="9"/>
      <c r="L196" s="9"/>
      <c r="M196" s="9"/>
    </row>
    <row r="197" customFormat="false" ht="15.75" hidden="false" customHeight="false" outlineLevel="0" collapsed="false">
      <c r="A197" s="2" t="str">
        <f aca="false">IFERROR(__xludf.dummyfunction("""COMPUTED_VALUE"""),"HET/KAN/1100")</f>
        <v>HET/KAN/1100</v>
      </c>
      <c r="B197" s="2" t="str">
        <f aca="false">IFERROR(__xludf.dummyfunction("""COMPUTED_VALUE"""),"Mukta Kalra")</f>
        <v>Mukta Kalra</v>
      </c>
      <c r="C197" s="2" t="str">
        <f aca="false">IFERROR(__xludf.dummyfunction("""COMPUTED_VALUE"""),"Faculty")</f>
        <v>Faculty</v>
      </c>
      <c r="D197" s="2" t="str">
        <f aca="false">IFERROR(__xludf.dummyfunction("""COMPUTED_VALUE"""),"Kanha")</f>
        <v>Kanha</v>
      </c>
      <c r="E197" s="16" t="n">
        <f aca="false">IFERROR(__xludf.dummyfunction("""COMPUTED_VALUE"""),43607)</f>
        <v>43607</v>
      </c>
      <c r="F197" s="9" t="n">
        <f aca="false">IFERROR(__xludf.dummyfunction("""COMPUTED_VALUE"""),36000)</f>
        <v>36000</v>
      </c>
      <c r="G197" s="2" t="n">
        <f aca="false">IFERROR(__xludf.dummyfunction("""COMPUTED_VALUE"""),30)</f>
        <v>30</v>
      </c>
      <c r="H197" s="2" t="n">
        <f aca="false">IFERROR(__xludf.dummyfunction("""COMPUTED_VALUE"""),30)</f>
        <v>30</v>
      </c>
      <c r="I197" s="9" t="n">
        <f aca="false">IFERROR(__xludf.dummyfunction("""COMPUTED_VALUE"""),432000)</f>
        <v>432000</v>
      </c>
      <c r="J197" s="9" t="n">
        <f aca="false">IFERROR(__xludf.dummyfunction("""COMPUTED_VALUE"""),317)</f>
        <v>317</v>
      </c>
      <c r="K197" s="9"/>
      <c r="L197" s="9"/>
      <c r="M197" s="9"/>
    </row>
    <row r="198" customFormat="false" ht="15.75" hidden="false" customHeight="false" outlineLevel="0" collapsed="false">
      <c r="A198" s="2" t="str">
        <f aca="false">IFERROR(__xludf.dummyfunction("""COMPUTED_VALUE"""),"HET/KAN/1131")</f>
        <v>HET/KAN/1131</v>
      </c>
      <c r="B198" s="2" t="str">
        <f aca="false">IFERROR(__xludf.dummyfunction("""COMPUTED_VALUE"""),"Hemali Khanna")</f>
        <v>Hemali Khanna</v>
      </c>
      <c r="C198" s="2" t="str">
        <f aca="false">IFERROR(__xludf.dummyfunction("""COMPUTED_VALUE"""),"Faculty")</f>
        <v>Faculty</v>
      </c>
      <c r="D198" s="2" t="str">
        <f aca="false">IFERROR(__xludf.dummyfunction("""COMPUTED_VALUE"""),"Kanha")</f>
        <v>Kanha</v>
      </c>
      <c r="E198" s="16" t="n">
        <f aca="false">IFERROR(__xludf.dummyfunction("""COMPUTED_VALUE"""),43609)</f>
        <v>43609</v>
      </c>
      <c r="F198" s="9" t="n">
        <f aca="false">IFERROR(__xludf.dummyfunction("""COMPUTED_VALUE"""),20000)</f>
        <v>20000</v>
      </c>
      <c r="G198" s="2" t="n">
        <f aca="false">IFERROR(__xludf.dummyfunction("""COMPUTED_VALUE"""),30)</f>
        <v>30</v>
      </c>
      <c r="H198" s="2" t="n">
        <f aca="false">IFERROR(__xludf.dummyfunction("""COMPUTED_VALUE"""),30)</f>
        <v>30</v>
      </c>
      <c r="I198" s="9" t="n">
        <f aca="false">IFERROR(__xludf.dummyfunction("""COMPUTED_VALUE"""),240000)</f>
        <v>240000</v>
      </c>
      <c r="J198" s="9" t="n">
        <f aca="false">IFERROR(__xludf.dummyfunction("""COMPUTED_VALUE"""),130)</f>
        <v>130</v>
      </c>
      <c r="K198" s="9"/>
      <c r="L198" s="9"/>
      <c r="M198" s="9"/>
    </row>
    <row r="199" customFormat="false" ht="15.75" hidden="false" customHeight="false" outlineLevel="0" collapsed="false">
      <c r="A199" s="2" t="str">
        <f aca="false">IFERROR(__xludf.dummyfunction("""COMPUTED_VALUE"""),"HET/KAN/1132")</f>
        <v>HET/KAN/1132</v>
      </c>
      <c r="B199" s="2" t="str">
        <f aca="false">IFERROR(__xludf.dummyfunction("""COMPUTED_VALUE"""),"Madhavi Ravi")</f>
        <v>Madhavi Ravi</v>
      </c>
      <c r="C199" s="2" t="str">
        <f aca="false">IFERROR(__xludf.dummyfunction("""COMPUTED_VALUE"""),"Faculty")</f>
        <v>Faculty</v>
      </c>
      <c r="D199" s="2" t="str">
        <f aca="false">IFERROR(__xludf.dummyfunction("""COMPUTED_VALUE"""),"Kanha")</f>
        <v>Kanha</v>
      </c>
      <c r="E199" s="16" t="n">
        <f aca="false">IFERROR(__xludf.dummyfunction("""COMPUTED_VALUE"""),43612)</f>
        <v>43612</v>
      </c>
      <c r="F199" s="9" t="n">
        <f aca="false">IFERROR(__xludf.dummyfunction("""COMPUTED_VALUE"""),30000)</f>
        <v>30000</v>
      </c>
      <c r="G199" s="2" t="n">
        <f aca="false">IFERROR(__xludf.dummyfunction("""COMPUTED_VALUE"""),30)</f>
        <v>30</v>
      </c>
      <c r="H199" s="2" t="n">
        <f aca="false">IFERROR(__xludf.dummyfunction("""COMPUTED_VALUE"""),30)</f>
        <v>30</v>
      </c>
      <c r="I199" s="9" t="n">
        <f aca="false">IFERROR(__xludf.dummyfunction("""COMPUTED_VALUE"""),360000)</f>
        <v>360000</v>
      </c>
      <c r="J199" s="9" t="n">
        <f aca="false">IFERROR(__xludf.dummyfunction("""COMPUTED_VALUE"""),0)</f>
        <v>0</v>
      </c>
      <c r="K199" s="9"/>
      <c r="L199" s="9"/>
      <c r="M199" s="9"/>
    </row>
    <row r="200" customFormat="false" ht="15.75" hidden="false" customHeight="false" outlineLevel="0" collapsed="false">
      <c r="A200" s="2" t="str">
        <f aca="false">IFERROR(__xludf.dummyfunction("""COMPUTED_VALUE"""),"HET/KAN/1134")</f>
        <v>HET/KAN/1134</v>
      </c>
      <c r="B200" s="2" t="str">
        <f aca="false">IFERROR(__xludf.dummyfunction("""COMPUTED_VALUE"""),"Simran")</f>
        <v>Simran</v>
      </c>
      <c r="C200" s="2" t="str">
        <f aca="false">IFERROR(__xludf.dummyfunction("""COMPUTED_VALUE"""),"Faculty")</f>
        <v>Faculty</v>
      </c>
      <c r="D200" s="2" t="str">
        <f aca="false">IFERROR(__xludf.dummyfunction("""COMPUTED_VALUE"""),"Kanha")</f>
        <v>Kanha</v>
      </c>
      <c r="E200" s="16" t="n">
        <f aca="false">IFERROR(__xludf.dummyfunction("""COMPUTED_VALUE"""),43616)</f>
        <v>43616</v>
      </c>
      <c r="F200" s="9" t="n">
        <f aca="false">IFERROR(__xludf.dummyfunction("""COMPUTED_VALUE"""),16000)</f>
        <v>16000</v>
      </c>
      <c r="G200" s="2" t="n">
        <f aca="false">IFERROR(__xludf.dummyfunction("""COMPUTED_VALUE"""),30)</f>
        <v>30</v>
      </c>
      <c r="H200" s="2" t="n">
        <f aca="false">IFERROR(__xludf.dummyfunction("""COMPUTED_VALUE"""),30)</f>
        <v>30</v>
      </c>
      <c r="I200" s="9" t="n">
        <f aca="false">IFERROR(__xludf.dummyfunction("""COMPUTED_VALUE"""),192000)</f>
        <v>192000</v>
      </c>
      <c r="J200" s="9" t="n">
        <f aca="false">IFERROR(__xludf.dummyfunction("""COMPUTED_VALUE"""),100)</f>
        <v>100</v>
      </c>
      <c r="K200" s="9"/>
      <c r="L200" s="9"/>
      <c r="M200" s="9"/>
    </row>
    <row r="201" customFormat="false" ht="15.75" hidden="false" customHeight="false" outlineLevel="0" collapsed="false">
      <c r="A201" s="2" t="str">
        <f aca="false">IFERROR(__xludf.dummyfunction("""COMPUTED_VALUE"""),"HET/KAN/1135")</f>
        <v>HET/KAN/1135</v>
      </c>
      <c r="B201" s="2" t="str">
        <f aca="false">IFERROR(__xludf.dummyfunction("""COMPUTED_VALUE"""),"Amit Agarwal")</f>
        <v>Amit Agarwal</v>
      </c>
      <c r="C201" s="2" t="str">
        <f aca="false">IFERROR(__xludf.dummyfunction("""COMPUTED_VALUE"""),"Faculty")</f>
        <v>Faculty</v>
      </c>
      <c r="D201" s="2" t="str">
        <f aca="false">IFERROR(__xludf.dummyfunction("""COMPUTED_VALUE"""),"Kanha")</f>
        <v>Kanha</v>
      </c>
      <c r="E201" s="16" t="n">
        <f aca="false">IFERROR(__xludf.dummyfunction("""COMPUTED_VALUE"""),43619)</f>
        <v>43619</v>
      </c>
      <c r="F201" s="9" t="n">
        <f aca="false">IFERROR(__xludf.dummyfunction("""COMPUTED_VALUE"""),30000)</f>
        <v>30000</v>
      </c>
      <c r="G201" s="2" t="n">
        <f aca="false">IFERROR(__xludf.dummyfunction("""COMPUTED_VALUE"""),30)</f>
        <v>30</v>
      </c>
      <c r="H201" s="2" t="n">
        <f aca="false">IFERROR(__xludf.dummyfunction("""COMPUTED_VALUE"""),30)</f>
        <v>30</v>
      </c>
      <c r="I201" s="9" t="n">
        <f aca="false">IFERROR(__xludf.dummyfunction("""COMPUTED_VALUE"""),360000)</f>
        <v>360000</v>
      </c>
      <c r="J201" s="9" t="n">
        <f aca="false">IFERROR(__xludf.dummyfunction("""COMPUTED_VALUE"""),499)</f>
        <v>499</v>
      </c>
      <c r="K201" s="9"/>
      <c r="L201" s="9"/>
      <c r="M201" s="9"/>
    </row>
    <row r="202" customFormat="false" ht="15.75" hidden="false" customHeight="false" outlineLevel="0" collapsed="false">
      <c r="A202" s="2" t="str">
        <f aca="false">IFERROR(__xludf.dummyfunction("""COMPUTED_VALUE"""),"HET/KAN/1137")</f>
        <v>HET/KAN/1137</v>
      </c>
      <c r="B202" s="2" t="str">
        <f aca="false">IFERROR(__xludf.dummyfunction("""COMPUTED_VALUE"""),"Tanushree")</f>
        <v>Tanushree</v>
      </c>
      <c r="C202" s="2" t="str">
        <f aca="false">IFERROR(__xludf.dummyfunction("""COMPUTED_VALUE"""),"Faculty")</f>
        <v>Faculty</v>
      </c>
      <c r="D202" s="2" t="str">
        <f aca="false">IFERROR(__xludf.dummyfunction("""COMPUTED_VALUE"""),"Kanha")</f>
        <v>Kanha</v>
      </c>
      <c r="E202" s="16" t="n">
        <f aca="false">IFERROR(__xludf.dummyfunction("""COMPUTED_VALUE"""),43629)</f>
        <v>43629</v>
      </c>
      <c r="F202" s="9" t="n">
        <f aca="false">IFERROR(__xludf.dummyfunction("""COMPUTED_VALUE"""),16000)</f>
        <v>16000</v>
      </c>
      <c r="G202" s="2" t="n">
        <f aca="false">IFERROR(__xludf.dummyfunction("""COMPUTED_VALUE"""),30)</f>
        <v>30</v>
      </c>
      <c r="H202" s="2" t="n">
        <f aca="false">IFERROR(__xludf.dummyfunction("""COMPUTED_VALUE"""),30)</f>
        <v>30</v>
      </c>
      <c r="I202" s="9" t="n">
        <f aca="false">IFERROR(__xludf.dummyfunction("""COMPUTED_VALUE"""),192000)</f>
        <v>192000</v>
      </c>
      <c r="J202" s="9" t="n">
        <f aca="false">IFERROR(__xludf.dummyfunction("""COMPUTED_VALUE"""),343)</f>
        <v>343</v>
      </c>
      <c r="K202" s="9"/>
      <c r="L202" s="9"/>
      <c r="M202" s="9"/>
    </row>
    <row r="203" customFormat="false" ht="15.75" hidden="false" customHeight="false" outlineLevel="0" collapsed="false">
      <c r="A203" s="2" t="str">
        <f aca="false">IFERROR(__xludf.dummyfunction("""COMPUTED_VALUE"""),"HET/KAN/1138")</f>
        <v>HET/KAN/1138</v>
      </c>
      <c r="B203" s="2" t="str">
        <f aca="false">IFERROR(__xludf.dummyfunction("""COMPUTED_VALUE"""),"Arjun Reddy")</f>
        <v>Arjun Reddy</v>
      </c>
      <c r="C203" s="2" t="str">
        <f aca="false">IFERROR(__xludf.dummyfunction("""COMPUTED_VALUE"""),"PET Faculty")</f>
        <v>PET Faculty</v>
      </c>
      <c r="D203" s="2" t="str">
        <f aca="false">IFERROR(__xludf.dummyfunction("""COMPUTED_VALUE"""),"Kanha")</f>
        <v>Kanha</v>
      </c>
      <c r="E203" s="16" t="n">
        <f aca="false">IFERROR(__xludf.dummyfunction("""COMPUTED_VALUE"""),43635)</f>
        <v>43635</v>
      </c>
      <c r="F203" s="9" t="n">
        <f aca="false">IFERROR(__xludf.dummyfunction("""COMPUTED_VALUE"""),16000)</f>
        <v>16000</v>
      </c>
      <c r="G203" s="2" t="n">
        <f aca="false">IFERROR(__xludf.dummyfunction("""COMPUTED_VALUE"""),30)</f>
        <v>30</v>
      </c>
      <c r="H203" s="2" t="n">
        <f aca="false">IFERROR(__xludf.dummyfunction("""COMPUTED_VALUE"""),30)</f>
        <v>30</v>
      </c>
      <c r="I203" s="9" t="n">
        <f aca="false">IFERROR(__xludf.dummyfunction("""COMPUTED_VALUE"""),192000)</f>
        <v>192000</v>
      </c>
      <c r="J203" s="9" t="n">
        <f aca="false">IFERROR(__xludf.dummyfunction("""COMPUTED_VALUE"""),100)</f>
        <v>100</v>
      </c>
      <c r="K203" s="9"/>
      <c r="L203" s="9"/>
      <c r="M203" s="9"/>
    </row>
    <row r="204" customFormat="false" ht="15.75" hidden="false" customHeight="false" outlineLevel="0" collapsed="false">
      <c r="A204" s="2" t="str">
        <f aca="false">IFERROR(__xludf.dummyfunction("""COMPUTED_VALUE"""),"HET/KAN/1140")</f>
        <v>HET/KAN/1140</v>
      </c>
      <c r="B204" s="2" t="str">
        <f aca="false">IFERROR(__xludf.dummyfunction("""COMPUTED_VALUE"""),"Muthamma")</f>
        <v>Muthamma</v>
      </c>
      <c r="C204" s="2" t="str">
        <f aca="false">IFERROR(__xludf.dummyfunction("""COMPUTED_VALUE"""),"Care Taker")</f>
        <v>Care Taker</v>
      </c>
      <c r="D204" s="2" t="str">
        <f aca="false">IFERROR(__xludf.dummyfunction("""COMPUTED_VALUE"""),"Kanha")</f>
        <v>Kanha</v>
      </c>
      <c r="E204" s="16" t="n">
        <f aca="false">IFERROR(__xludf.dummyfunction("""COMPUTED_VALUE"""),43633)</f>
        <v>43633</v>
      </c>
      <c r="F204" s="9" t="n">
        <f aca="false">IFERROR(__xludf.dummyfunction("""COMPUTED_VALUE"""),6000)</f>
        <v>6000</v>
      </c>
      <c r="G204" s="2" t="n">
        <f aca="false">IFERROR(__xludf.dummyfunction("""COMPUTED_VALUE"""),30)</f>
        <v>30</v>
      </c>
      <c r="H204" s="2" t="n">
        <f aca="false">IFERROR(__xludf.dummyfunction("""COMPUTED_VALUE"""),30)</f>
        <v>30</v>
      </c>
      <c r="I204" s="9" t="n">
        <f aca="false">IFERROR(__xludf.dummyfunction("""COMPUTED_VALUE"""),72000)</f>
        <v>72000</v>
      </c>
      <c r="J204" s="9" t="n">
        <f aca="false">IFERROR(__xludf.dummyfunction("""COMPUTED_VALUE"""),100)</f>
        <v>100</v>
      </c>
      <c r="K204" s="9"/>
      <c r="L204" s="9"/>
      <c r="M204" s="9"/>
    </row>
    <row r="205" customFormat="false" ht="15.75" hidden="false" customHeight="false" outlineLevel="0" collapsed="false">
      <c r="A205" s="2" t="str">
        <f aca="false">IFERROR(__xludf.dummyfunction("""COMPUTED_VALUE"""),"HET/KAN/1142")</f>
        <v>HET/KAN/1142</v>
      </c>
      <c r="B205" s="2" t="str">
        <f aca="false">IFERROR(__xludf.dummyfunction("""COMPUTED_VALUE"""),"C Shruthi")</f>
        <v>C Shruthi</v>
      </c>
      <c r="C205" s="2" t="str">
        <f aca="false">IFERROR(__xludf.dummyfunction("""COMPUTED_VALUE"""),"Faculty")</f>
        <v>Faculty</v>
      </c>
      <c r="D205" s="2" t="str">
        <f aca="false">IFERROR(__xludf.dummyfunction("""COMPUTED_VALUE"""),"Kanha")</f>
        <v>Kanha</v>
      </c>
      <c r="E205" s="16" t="n">
        <f aca="false">IFERROR(__xludf.dummyfunction("""COMPUTED_VALUE"""),43661)</f>
        <v>43661</v>
      </c>
      <c r="F205" s="9" t="n">
        <f aca="false">IFERROR(__xludf.dummyfunction("""COMPUTED_VALUE"""),32000)</f>
        <v>32000</v>
      </c>
      <c r="G205" s="2" t="n">
        <f aca="false">IFERROR(__xludf.dummyfunction("""COMPUTED_VALUE"""),30)</f>
        <v>30</v>
      </c>
      <c r="H205" s="2" t="n">
        <f aca="false">IFERROR(__xludf.dummyfunction("""COMPUTED_VALUE"""),30)</f>
        <v>30</v>
      </c>
      <c r="I205" s="9" t="n">
        <f aca="false">IFERROR(__xludf.dummyfunction("""COMPUTED_VALUE"""),384000)</f>
        <v>384000</v>
      </c>
      <c r="J205" s="9" t="n">
        <f aca="false">IFERROR(__xludf.dummyfunction("""COMPUTED_VALUE"""),100)</f>
        <v>100</v>
      </c>
      <c r="K205" s="9"/>
      <c r="L205" s="9"/>
      <c r="M205" s="9"/>
    </row>
    <row r="206" customFormat="false" ht="15.75" hidden="false" customHeight="false" outlineLevel="0" collapsed="false">
      <c r="A206" s="2" t="str">
        <f aca="false">IFERROR(__xludf.dummyfunction("""COMPUTED_VALUE"""),"HET/KAN/1161")</f>
        <v>HET/KAN/1161</v>
      </c>
      <c r="B206" s="2" t="str">
        <f aca="false">IFERROR(__xludf.dummyfunction("""COMPUTED_VALUE"""),"Shubhangi Singh")</f>
        <v>Shubhangi Singh</v>
      </c>
      <c r="C206" s="2" t="str">
        <f aca="false">IFERROR(__xludf.dummyfunction("""COMPUTED_VALUE"""),"Student Counselor")</f>
        <v>Student Counselor</v>
      </c>
      <c r="D206" s="2" t="str">
        <f aca="false">IFERROR(__xludf.dummyfunction("""COMPUTED_VALUE"""),"Kanha")</f>
        <v>Kanha</v>
      </c>
      <c r="E206" s="16" t="n">
        <f aca="false">IFERROR(__xludf.dummyfunction("""COMPUTED_VALUE"""),43678)</f>
        <v>43678</v>
      </c>
      <c r="F206" s="9" t="n">
        <f aca="false">IFERROR(__xludf.dummyfunction("""COMPUTED_VALUE"""),26000)</f>
        <v>26000</v>
      </c>
      <c r="G206" s="2" t="n">
        <f aca="false">IFERROR(__xludf.dummyfunction("""COMPUTED_VALUE"""),30)</f>
        <v>30</v>
      </c>
      <c r="H206" s="2" t="n">
        <f aca="false">IFERROR(__xludf.dummyfunction("""COMPUTED_VALUE"""),30)</f>
        <v>30</v>
      </c>
      <c r="I206" s="9" t="n">
        <f aca="false">IFERROR(__xludf.dummyfunction("""COMPUTED_VALUE"""),312000)</f>
        <v>312000</v>
      </c>
      <c r="J206" s="9" t="n">
        <f aca="false">IFERROR(__xludf.dummyfunction("""COMPUTED_VALUE"""),103)</f>
        <v>103</v>
      </c>
      <c r="K206" s="9"/>
      <c r="L206" s="9"/>
      <c r="M206" s="9"/>
    </row>
    <row r="207" customFormat="false" ht="15.75" hidden="false" customHeight="false" outlineLevel="0" collapsed="false">
      <c r="A207" s="2" t="str">
        <f aca="false">IFERROR(__xludf.dummyfunction("""COMPUTED_VALUE"""),"HET/KAN/1155")</f>
        <v>HET/KAN/1155</v>
      </c>
      <c r="B207" s="2" t="str">
        <f aca="false">IFERROR(__xludf.dummyfunction("""COMPUTED_VALUE"""),"Manisha Vats")</f>
        <v>Manisha Vats</v>
      </c>
      <c r="C207" s="2" t="str">
        <f aca="false">IFERROR(__xludf.dummyfunction("""COMPUTED_VALUE"""),"Faculty")</f>
        <v>Faculty</v>
      </c>
      <c r="D207" s="2" t="str">
        <f aca="false">IFERROR(__xludf.dummyfunction("""COMPUTED_VALUE"""),"Kanha")</f>
        <v>Kanha</v>
      </c>
      <c r="E207" s="16" t="n">
        <f aca="false">IFERROR(__xludf.dummyfunction("""COMPUTED_VALUE"""),43682)</f>
        <v>43682</v>
      </c>
      <c r="F207" s="9" t="n">
        <f aca="false">IFERROR(__xludf.dummyfunction("""COMPUTED_VALUE"""),28000)</f>
        <v>28000</v>
      </c>
      <c r="G207" s="2" t="n">
        <f aca="false">IFERROR(__xludf.dummyfunction("""COMPUTED_VALUE"""),30)</f>
        <v>30</v>
      </c>
      <c r="H207" s="2" t="n">
        <f aca="false">IFERROR(__xludf.dummyfunction("""COMPUTED_VALUE"""),30)</f>
        <v>30</v>
      </c>
      <c r="I207" s="9" t="n">
        <f aca="false">IFERROR(__xludf.dummyfunction("""COMPUTED_VALUE"""),336000)</f>
        <v>336000</v>
      </c>
      <c r="J207" s="9" t="n">
        <f aca="false">IFERROR(__xludf.dummyfunction("""COMPUTED_VALUE"""),103)</f>
        <v>103</v>
      </c>
      <c r="K207" s="9"/>
      <c r="L207" s="9"/>
      <c r="M207" s="9"/>
    </row>
    <row r="208" customFormat="false" ht="15.75" hidden="false" customHeight="false" outlineLevel="0" collapsed="false">
      <c r="A208" s="2" t="str">
        <f aca="false">IFERROR(__xludf.dummyfunction("""COMPUTED_VALUE"""),"HET/KAN/1181")</f>
        <v>HET/KAN/1181</v>
      </c>
      <c r="B208" s="2" t="str">
        <f aca="false">IFERROR(__xludf.dummyfunction("""COMPUTED_VALUE"""),"Amaravathi Monickavasagom")</f>
        <v>Amaravathi Monickavasagom</v>
      </c>
      <c r="C208" s="2" t="str">
        <f aca="false">IFERROR(__xludf.dummyfunction("""COMPUTED_VALUE"""),"Faculty")</f>
        <v>Faculty</v>
      </c>
      <c r="D208" s="2" t="str">
        <f aca="false">IFERROR(__xludf.dummyfunction("""COMPUTED_VALUE"""),"Kanha")</f>
        <v>Kanha</v>
      </c>
      <c r="E208" s="16" t="n">
        <f aca="false">IFERROR(__xludf.dummyfunction("""COMPUTED_VALUE"""),43685)</f>
        <v>43685</v>
      </c>
      <c r="F208" s="9" t="n">
        <f aca="false">IFERROR(__xludf.dummyfunction("""COMPUTED_VALUE"""),15000)</f>
        <v>15000</v>
      </c>
      <c r="G208" s="2" t="n">
        <f aca="false">IFERROR(__xludf.dummyfunction("""COMPUTED_VALUE"""),30)</f>
        <v>30</v>
      </c>
      <c r="H208" s="2" t="n">
        <f aca="false">IFERROR(__xludf.dummyfunction("""COMPUTED_VALUE"""),30)</f>
        <v>30</v>
      </c>
      <c r="I208" s="9" t="n">
        <f aca="false">IFERROR(__xludf.dummyfunction("""COMPUTED_VALUE"""),180000)</f>
        <v>180000</v>
      </c>
      <c r="J208" s="9" t="n">
        <f aca="false">IFERROR(__xludf.dummyfunction("""COMPUTED_VALUE"""),0)</f>
        <v>0</v>
      </c>
      <c r="K208" s="9"/>
      <c r="L208" s="9"/>
      <c r="M208" s="9"/>
    </row>
    <row r="209" customFormat="false" ht="15.75" hidden="false" customHeight="false" outlineLevel="0" collapsed="false">
      <c r="A209" s="2" t="str">
        <f aca="false">IFERROR(__xludf.dummyfunction("""COMPUTED_VALUE"""),"HET/KAN/1248")</f>
        <v>HET/KAN/1248</v>
      </c>
      <c r="B209" s="2" t="str">
        <f aca="false">IFERROR(__xludf.dummyfunction("""COMPUTED_VALUE"""),"Alluri Sarath Chandra Varma")</f>
        <v>Alluri Sarath Chandra Varma</v>
      </c>
      <c r="C209" s="2" t="str">
        <f aca="false">IFERROR(__xludf.dummyfunction("""COMPUTED_VALUE"""),"Asst. Coordinator")</f>
        <v>Asst. Coordinator</v>
      </c>
      <c r="D209" s="2" t="str">
        <f aca="false">IFERROR(__xludf.dummyfunction("""COMPUTED_VALUE"""),"Kanha")</f>
        <v>Kanha</v>
      </c>
      <c r="E209" s="16" t="n">
        <f aca="false">IFERROR(__xludf.dummyfunction("""COMPUTED_VALUE"""),43728)</f>
        <v>43728</v>
      </c>
      <c r="F209" s="9" t="n">
        <f aca="false">IFERROR(__xludf.dummyfunction("""COMPUTED_VALUE"""),18000)</f>
        <v>18000</v>
      </c>
      <c r="G209" s="2" t="n">
        <f aca="false">IFERROR(__xludf.dummyfunction("""COMPUTED_VALUE"""),30)</f>
        <v>30</v>
      </c>
      <c r="H209" s="2" t="n">
        <f aca="false">IFERROR(__xludf.dummyfunction("""COMPUTED_VALUE"""),30)</f>
        <v>30</v>
      </c>
      <c r="I209" s="9" t="n">
        <f aca="false">IFERROR(__xludf.dummyfunction("""COMPUTED_VALUE"""),216000)</f>
        <v>216000</v>
      </c>
      <c r="J209" s="9" t="n">
        <f aca="false">IFERROR(__xludf.dummyfunction("""COMPUTED_VALUE"""),103)</f>
        <v>103</v>
      </c>
      <c r="K209" s="9"/>
      <c r="L209" s="9"/>
      <c r="M209" s="9"/>
    </row>
    <row r="210" customFormat="false" ht="15.75" hidden="false" customHeight="false" outlineLevel="0" collapsed="false">
      <c r="A210" s="2" t="str">
        <f aca="false">IFERROR(__xludf.dummyfunction("""COMPUTED_VALUE"""),"HET/KAN/1249")</f>
        <v>HET/KAN/1249</v>
      </c>
      <c r="B210" s="2" t="str">
        <f aca="false">IFERROR(__xludf.dummyfunction("""COMPUTED_VALUE"""),"Nivedita Bhaskar")</f>
        <v>Nivedita Bhaskar</v>
      </c>
      <c r="C210" s="2" t="str">
        <f aca="false">IFERROR(__xludf.dummyfunction("""COMPUTED_VALUE"""),"Faculty")</f>
        <v>Faculty</v>
      </c>
      <c r="D210" s="2" t="str">
        <f aca="false">IFERROR(__xludf.dummyfunction("""COMPUTED_VALUE"""),"Kanha")</f>
        <v>Kanha</v>
      </c>
      <c r="E210" s="16" t="n">
        <f aca="false">IFERROR(__xludf.dummyfunction("""COMPUTED_VALUE"""),43739)</f>
        <v>43739</v>
      </c>
      <c r="F210" s="9" t="n">
        <f aca="false">IFERROR(__xludf.dummyfunction("""COMPUTED_VALUE"""),22000)</f>
        <v>22000</v>
      </c>
      <c r="G210" s="2" t="n">
        <f aca="false">IFERROR(__xludf.dummyfunction("""COMPUTED_VALUE"""),30)</f>
        <v>30</v>
      </c>
      <c r="H210" s="2" t="n">
        <f aca="false">IFERROR(__xludf.dummyfunction("""COMPUTED_VALUE"""),30)</f>
        <v>30</v>
      </c>
      <c r="I210" s="9" t="n">
        <f aca="false">IFERROR(__xludf.dummyfunction("""COMPUTED_VALUE"""),264000)</f>
        <v>264000</v>
      </c>
      <c r="J210" s="9" t="n">
        <f aca="false">IFERROR(__xludf.dummyfunction("""COMPUTED_VALUE"""),343)</f>
        <v>343</v>
      </c>
      <c r="K210" s="9"/>
      <c r="L210" s="9"/>
      <c r="M210" s="9"/>
    </row>
    <row r="211" customFormat="false" ht="15.75" hidden="false" customHeight="false" outlineLevel="0" collapsed="false">
      <c r="A211" s="2" t="str">
        <f aca="false">IFERROR(__xludf.dummyfunction("""COMPUTED_VALUE"""),"HET/KAN/1358")</f>
        <v>HET/KAN/1358</v>
      </c>
      <c r="B211" s="2" t="str">
        <f aca="false">IFERROR(__xludf.dummyfunction("""COMPUTED_VALUE"""),"Sandeep Kumar Tomar")</f>
        <v>Sandeep Kumar Tomar</v>
      </c>
      <c r="C211" s="2" t="str">
        <f aca="false">IFERROR(__xludf.dummyfunction("""COMPUTED_VALUE"""),"Academic Coordinator")</f>
        <v>Academic Coordinator</v>
      </c>
      <c r="D211" s="2" t="str">
        <f aca="false">IFERROR(__xludf.dummyfunction("""COMPUTED_VALUE"""),"Kanha")</f>
        <v>Kanha</v>
      </c>
      <c r="E211" s="16" t="n">
        <f aca="false">IFERROR(__xludf.dummyfunction("""COMPUTED_VALUE"""),43770)</f>
        <v>43770</v>
      </c>
      <c r="F211" s="9" t="n">
        <f aca="false">IFERROR(__xludf.dummyfunction("""COMPUTED_VALUE"""),80000)</f>
        <v>80000</v>
      </c>
      <c r="G211" s="2" t="n">
        <f aca="false">IFERROR(__xludf.dummyfunction("""COMPUTED_VALUE"""),30)</f>
        <v>30</v>
      </c>
      <c r="H211" s="2" t="n">
        <f aca="false">IFERROR(__xludf.dummyfunction("""COMPUTED_VALUE"""),30)</f>
        <v>30</v>
      </c>
      <c r="I211" s="9" t="n">
        <f aca="false">IFERROR(__xludf.dummyfunction("""COMPUTED_VALUE"""),960000)</f>
        <v>960000</v>
      </c>
      <c r="J211" s="9" t="n">
        <f aca="false">IFERROR(__xludf.dummyfunction("""COMPUTED_VALUE"""),100)</f>
        <v>100</v>
      </c>
      <c r="K211" s="9"/>
      <c r="L211" s="9"/>
      <c r="M211" s="9"/>
    </row>
    <row r="212" customFormat="false" ht="15.75" hidden="false" customHeight="false" outlineLevel="0" collapsed="false">
      <c r="A212" s="2" t="str">
        <f aca="false">IFERROR(__xludf.dummyfunction("""COMPUTED_VALUE"""),"HET/KAN/1207")</f>
        <v>HET/KAN/1207</v>
      </c>
      <c r="B212" s="2" t="str">
        <f aca="false">IFERROR(__xludf.dummyfunction("""COMPUTED_VALUE"""),"Hanuman Moti")</f>
        <v>Hanuman Moti</v>
      </c>
      <c r="C212" s="2" t="str">
        <f aca="false">IFERROR(__xludf.dummyfunction("""COMPUTED_VALUE"""),"Office Assistant")</f>
        <v>Office Assistant</v>
      </c>
      <c r="D212" s="2" t="str">
        <f aca="false">IFERROR(__xludf.dummyfunction("""COMPUTED_VALUE"""),"Kanha")</f>
        <v>Kanha</v>
      </c>
      <c r="E212" s="16" t="n">
        <f aca="false">IFERROR(__xludf.dummyfunction("""COMPUTED_VALUE"""),43856)</f>
        <v>43856</v>
      </c>
      <c r="F212" s="9" t="n">
        <f aca="false">IFERROR(__xludf.dummyfunction("""COMPUTED_VALUE"""),9000)</f>
        <v>9000</v>
      </c>
      <c r="G212" s="2" t="n">
        <f aca="false">IFERROR(__xludf.dummyfunction("""COMPUTED_VALUE"""),30)</f>
        <v>30</v>
      </c>
      <c r="H212" s="2" t="n">
        <f aca="false">IFERROR(__xludf.dummyfunction("""COMPUTED_VALUE"""),30)</f>
        <v>30</v>
      </c>
      <c r="I212" s="9" t="n">
        <f aca="false">IFERROR(__xludf.dummyfunction("""COMPUTED_VALUE"""),108000)</f>
        <v>108000</v>
      </c>
      <c r="J212" s="9" t="n">
        <f aca="false">IFERROR(__xludf.dummyfunction("""COMPUTED_VALUE"""),68)</f>
        <v>68</v>
      </c>
      <c r="K212" s="9"/>
      <c r="L212" s="9"/>
      <c r="M212" s="9"/>
    </row>
    <row r="213" customFormat="false" ht="15.75" hidden="false" customHeight="false" outlineLevel="0" collapsed="false">
      <c r="A213" s="2" t="str">
        <f aca="false">IFERROR(__xludf.dummyfunction("""COMPUTED_VALUE"""),"HET/KAN/1383")</f>
        <v>HET/KAN/1383</v>
      </c>
      <c r="B213" s="2" t="str">
        <f aca="false">IFERROR(__xludf.dummyfunction("""COMPUTED_VALUE"""),"Nivedita Sah")</f>
        <v>Nivedita Sah</v>
      </c>
      <c r="C213" s="2" t="str">
        <f aca="false">IFERROR(__xludf.dummyfunction("""COMPUTED_VALUE"""),"Faculty")</f>
        <v>Faculty</v>
      </c>
      <c r="D213" s="2" t="str">
        <f aca="false">IFERROR(__xludf.dummyfunction("""COMPUTED_VALUE"""),"Kanha")</f>
        <v>Kanha</v>
      </c>
      <c r="E213" s="16" t="n">
        <f aca="false">IFERROR(__xludf.dummyfunction("""COMPUTED_VALUE"""),43887)</f>
        <v>43887</v>
      </c>
      <c r="F213" s="9" t="n">
        <f aca="false">IFERROR(__xludf.dummyfunction("""COMPUTED_VALUE"""),20000)</f>
        <v>20000</v>
      </c>
      <c r="G213" s="2" t="n">
        <f aca="false">IFERROR(__xludf.dummyfunction("""COMPUTED_VALUE"""),30)</f>
        <v>30</v>
      </c>
      <c r="H213" s="2" t="n">
        <f aca="false">IFERROR(__xludf.dummyfunction("""COMPUTED_VALUE"""),30)</f>
        <v>30</v>
      </c>
      <c r="I213" s="9" t="n">
        <f aca="false">IFERROR(__xludf.dummyfunction("""COMPUTED_VALUE"""),240000)</f>
        <v>240000</v>
      </c>
      <c r="J213" s="9" t="n">
        <f aca="false">IFERROR(__xludf.dummyfunction("""COMPUTED_VALUE"""),100)</f>
        <v>100</v>
      </c>
      <c r="K213" s="9"/>
      <c r="L213" s="9"/>
      <c r="M213" s="9"/>
    </row>
    <row r="214" customFormat="false" ht="15.75" hidden="false" customHeight="false" outlineLevel="0" collapsed="false">
      <c r="A214" s="2" t="str">
        <f aca="false">IFERROR(__xludf.dummyfunction("""COMPUTED_VALUE"""),"HET/KAN/1384")</f>
        <v>HET/KAN/1384</v>
      </c>
      <c r="B214" s="2" t="str">
        <f aca="false">IFERROR(__xludf.dummyfunction("""COMPUTED_VALUE"""),"Shivangi Jadwal")</f>
        <v>Shivangi Jadwal</v>
      </c>
      <c r="C214" s="2" t="str">
        <f aca="false">IFERROR(__xludf.dummyfunction("""COMPUTED_VALUE"""),"Faculty")</f>
        <v>Faculty</v>
      </c>
      <c r="D214" s="2" t="str">
        <f aca="false">IFERROR(__xludf.dummyfunction("""COMPUTED_VALUE"""),"Kanha")</f>
        <v>Kanha</v>
      </c>
      <c r="E214" s="16" t="n">
        <f aca="false">IFERROR(__xludf.dummyfunction("""COMPUTED_VALUE"""),43887)</f>
        <v>43887</v>
      </c>
      <c r="F214" s="9" t="n">
        <f aca="false">IFERROR(__xludf.dummyfunction("""COMPUTED_VALUE"""),20000)</f>
        <v>20000</v>
      </c>
      <c r="G214" s="2" t="n">
        <f aca="false">IFERROR(__xludf.dummyfunction("""COMPUTED_VALUE"""),30)</f>
        <v>30</v>
      </c>
      <c r="H214" s="2" t="n">
        <f aca="false">IFERROR(__xludf.dummyfunction("""COMPUTED_VALUE"""),30)</f>
        <v>30</v>
      </c>
      <c r="I214" s="9" t="n">
        <f aca="false">IFERROR(__xludf.dummyfunction("""COMPUTED_VALUE"""),240000)</f>
        <v>240000</v>
      </c>
      <c r="J214" s="9" t="n">
        <f aca="false">IFERROR(__xludf.dummyfunction("""COMPUTED_VALUE"""),100)</f>
        <v>100</v>
      </c>
      <c r="K214" s="9"/>
      <c r="L214" s="9"/>
      <c r="M214" s="9"/>
    </row>
    <row r="215" customFormat="false" ht="15.75" hidden="false" customHeight="false" outlineLevel="0" collapsed="false">
      <c r="A215" s="2" t="str">
        <f aca="false">IFERROR(__xludf.dummyfunction("""COMPUTED_VALUE"""),"SHKJ/KAN/1307")</f>
        <v>SHKJ/KAN/1307</v>
      </c>
      <c r="B215" s="2" t="str">
        <f aca="false">IFERROR(__xludf.dummyfunction("""COMPUTED_VALUE"""),"Vibha")</f>
        <v>Vibha</v>
      </c>
      <c r="C215" s="2" t="str">
        <f aca="false">IFERROR(__xludf.dummyfunction("""COMPUTED_VALUE"""),"Accounts")</f>
        <v>Accounts</v>
      </c>
      <c r="D215" s="2" t="str">
        <f aca="false">IFERROR(__xludf.dummyfunction("""COMPUTED_VALUE"""),"Kanha")</f>
        <v>Kanha</v>
      </c>
      <c r="E215" s="16" t="n">
        <f aca="false">IFERROR(__xludf.dummyfunction("""COMPUTED_VALUE"""),43764)</f>
        <v>43764</v>
      </c>
      <c r="F215" s="9" t="n">
        <f aca="false">IFERROR(__xludf.dummyfunction("""COMPUTED_VALUE"""),25000)</f>
        <v>25000</v>
      </c>
      <c r="G215" s="2" t="n">
        <f aca="false">IFERROR(__xludf.dummyfunction("""COMPUTED_VALUE"""),30)</f>
        <v>30</v>
      </c>
      <c r="H215" s="2" t="n">
        <f aca="false">IFERROR(__xludf.dummyfunction("""COMPUTED_VALUE"""),30)</f>
        <v>30</v>
      </c>
      <c r="I215" s="9" t="n">
        <f aca="false">IFERROR(__xludf.dummyfunction("""COMPUTED_VALUE"""),300000)</f>
        <v>300000</v>
      </c>
      <c r="J215" s="9" t="n">
        <f aca="false">IFERROR(__xludf.dummyfunction("""COMPUTED_VALUE"""),0)</f>
        <v>0</v>
      </c>
      <c r="K215" s="9"/>
      <c r="L215" s="9"/>
      <c r="M215" s="9"/>
    </row>
    <row r="216" customFormat="false" ht="15.75" hidden="false" customHeight="false" outlineLevel="0" collapsed="false">
      <c r="A216" s="2" t="str">
        <f aca="false">IFERROR(__xludf.dummyfunction("""COMPUTED_VALUE"""),"HET/KAN/1484")</f>
        <v>HET/KAN/1484</v>
      </c>
      <c r="B216" s="2" t="str">
        <f aca="false">IFERROR(__xludf.dummyfunction("""COMPUTED_VALUE"""),"Teegala Parthasarathi")</f>
        <v>Teegala Parthasarathi</v>
      </c>
      <c r="C216" s="2" t="str">
        <f aca="false">IFERROR(__xludf.dummyfunction("""COMPUTED_VALUE"""),"School Faculty (Academics)")</f>
        <v>School Faculty (Academics)</v>
      </c>
      <c r="D216" s="2" t="str">
        <f aca="false">IFERROR(__xludf.dummyfunction("""COMPUTED_VALUE"""),"Kanha")</f>
        <v>Kanha</v>
      </c>
      <c r="E216" s="16" t="n">
        <f aca="false">IFERROR(__xludf.dummyfunction("""COMPUTED_VALUE"""),43944)</f>
        <v>43944</v>
      </c>
      <c r="F216" s="9" t="n">
        <f aca="false">IFERROR(__xludf.dummyfunction("""COMPUTED_VALUE"""),30000)</f>
        <v>30000</v>
      </c>
      <c r="G216" s="2" t="n">
        <f aca="false">IFERROR(__xludf.dummyfunction("""COMPUTED_VALUE"""),30)</f>
        <v>30</v>
      </c>
      <c r="H216" s="2" t="n">
        <f aca="false">IFERROR(__xludf.dummyfunction("""COMPUTED_VALUE"""),30)</f>
        <v>30</v>
      </c>
      <c r="I216" s="9" t="n">
        <f aca="false">IFERROR(__xludf.dummyfunction("""COMPUTED_VALUE"""),360000)</f>
        <v>360000</v>
      </c>
      <c r="J216" s="9" t="n">
        <f aca="false">IFERROR(__xludf.dummyfunction("""COMPUTED_VALUE"""),100)</f>
        <v>100</v>
      </c>
      <c r="K216" s="9"/>
      <c r="L216" s="9"/>
      <c r="M216" s="9"/>
    </row>
    <row r="217" customFormat="false" ht="15.75" hidden="false" customHeight="false" outlineLevel="0" collapsed="false">
      <c r="A217" s="2" t="str">
        <f aca="false">IFERROR(__xludf.dummyfunction("""COMPUTED_VALUE"""),"HET/KAN/1526")</f>
        <v>HET/KAN/1526</v>
      </c>
      <c r="B217" s="2" t="str">
        <f aca="false">IFERROR(__xludf.dummyfunction("""COMPUTED_VALUE"""),"Poorva Sharma")</f>
        <v>Poorva Sharma</v>
      </c>
      <c r="C217" s="2" t="str">
        <f aca="false">IFERROR(__xludf.dummyfunction("""COMPUTED_VALUE"""),"School Faculty (Academics)")</f>
        <v>School Faculty (Academics)</v>
      </c>
      <c r="D217" s="2" t="str">
        <f aca="false">IFERROR(__xludf.dummyfunction("""COMPUTED_VALUE"""),"Kanha")</f>
        <v>Kanha</v>
      </c>
      <c r="E217" s="16" t="n">
        <f aca="false">IFERROR(__xludf.dummyfunction("""COMPUTED_VALUE"""),43977)</f>
        <v>43977</v>
      </c>
      <c r="F217" s="9" t="n">
        <f aca="false">IFERROR(__xludf.dummyfunction("""COMPUTED_VALUE"""),18000)</f>
        <v>18000</v>
      </c>
      <c r="G217" s="2" t="n">
        <f aca="false">IFERROR(__xludf.dummyfunction("""COMPUTED_VALUE"""),30)</f>
        <v>30</v>
      </c>
      <c r="H217" s="2" t="n">
        <f aca="false">IFERROR(__xludf.dummyfunction("""COMPUTED_VALUE"""),30)</f>
        <v>30</v>
      </c>
      <c r="I217" s="9" t="n">
        <f aca="false">IFERROR(__xludf.dummyfunction("""COMPUTED_VALUE"""),216000)</f>
        <v>216000</v>
      </c>
      <c r="J217" s="9" t="n">
        <f aca="false">IFERROR(__xludf.dummyfunction("""COMPUTED_VALUE"""),202)</f>
        <v>202</v>
      </c>
      <c r="K217" s="9"/>
      <c r="L217" s="9"/>
      <c r="M217" s="9"/>
    </row>
    <row r="218" customFormat="false" ht="15.75" hidden="false" customHeight="false" outlineLevel="0" collapsed="false">
      <c r="A218" s="2" t="str">
        <f aca="false">IFERROR(__xludf.dummyfunction("""COMPUTED_VALUE"""),"HET/KAN/1490")</f>
        <v>HET/KAN/1490</v>
      </c>
      <c r="B218" s="2" t="str">
        <f aca="false">IFERROR(__xludf.dummyfunction("""COMPUTED_VALUE"""),"G Priya Darshini")</f>
        <v>G Priya Darshini</v>
      </c>
      <c r="C218" s="2" t="str">
        <f aca="false">IFERROR(__xludf.dummyfunction("""COMPUTED_VALUE"""),"School Faculty (Academics)")</f>
        <v>School Faculty (Academics)</v>
      </c>
      <c r="D218" s="2" t="str">
        <f aca="false">IFERROR(__xludf.dummyfunction("""COMPUTED_VALUE"""),"Kanha")</f>
        <v>Kanha</v>
      </c>
      <c r="E218" s="16" t="n">
        <f aca="false">IFERROR(__xludf.dummyfunction("""COMPUTED_VALUE"""),43952)</f>
        <v>43952</v>
      </c>
      <c r="F218" s="9" t="n">
        <f aca="false">IFERROR(__xludf.dummyfunction("""COMPUTED_VALUE"""),35000)</f>
        <v>35000</v>
      </c>
      <c r="G218" s="2" t="n">
        <f aca="false">IFERROR(__xludf.dummyfunction("""COMPUTED_VALUE"""),30)</f>
        <v>30</v>
      </c>
      <c r="H218" s="2" t="n">
        <f aca="false">IFERROR(__xludf.dummyfunction("""COMPUTED_VALUE"""),30)</f>
        <v>30</v>
      </c>
      <c r="I218" s="9" t="n">
        <f aca="false">IFERROR(__xludf.dummyfunction("""COMPUTED_VALUE"""),420000)</f>
        <v>420000</v>
      </c>
      <c r="J218" s="9" t="n">
        <f aca="false">IFERROR(__xludf.dummyfunction("""COMPUTED_VALUE"""),294)</f>
        <v>294</v>
      </c>
      <c r="K218" s="9"/>
      <c r="L218" s="9"/>
      <c r="M218" s="9"/>
    </row>
    <row r="219" customFormat="false" ht="15.75" hidden="false" customHeight="false" outlineLevel="0" collapsed="false">
      <c r="A219" s="2" t="str">
        <f aca="false">IFERROR(__xludf.dummyfunction("""COMPUTED_VALUE"""),"HET/KAN/1487")</f>
        <v>HET/KAN/1487</v>
      </c>
      <c r="B219" s="2" t="str">
        <f aca="false">IFERROR(__xludf.dummyfunction("""COMPUTED_VALUE"""),"S Sanket")</f>
        <v>S Sanket</v>
      </c>
      <c r="C219" s="2" t="str">
        <f aca="false">IFERROR(__xludf.dummyfunction("""COMPUTED_VALUE"""),"School Faculty (Academics)")</f>
        <v>School Faculty (Academics)</v>
      </c>
      <c r="D219" s="2" t="str">
        <f aca="false">IFERROR(__xludf.dummyfunction("""COMPUTED_VALUE"""),"Kanha")</f>
        <v>Kanha</v>
      </c>
      <c r="E219" s="16" t="n">
        <f aca="false">IFERROR(__xludf.dummyfunction("""COMPUTED_VALUE"""),43990)</f>
        <v>43990</v>
      </c>
      <c r="F219" s="9" t="n">
        <f aca="false">IFERROR(__xludf.dummyfunction("""COMPUTED_VALUE"""),50000)</f>
        <v>50000</v>
      </c>
      <c r="G219" s="2" t="n">
        <f aca="false">IFERROR(__xludf.dummyfunction("""COMPUTED_VALUE"""),30)</f>
        <v>30</v>
      </c>
      <c r="H219" s="2" t="n">
        <f aca="false">IFERROR(__xludf.dummyfunction("""COMPUTED_VALUE"""),30)</f>
        <v>30</v>
      </c>
      <c r="I219" s="9" t="n">
        <f aca="false">IFERROR(__xludf.dummyfunction("""COMPUTED_VALUE"""),600000)</f>
        <v>600000</v>
      </c>
      <c r="J219" s="9" t="n">
        <f aca="false">IFERROR(__xludf.dummyfunction("""COMPUTED_VALUE"""),0)</f>
        <v>0</v>
      </c>
      <c r="K219" s="9"/>
      <c r="L219" s="9"/>
      <c r="M219" s="9"/>
    </row>
    <row r="220" customFormat="false" ht="15.75" hidden="false" customHeight="false" outlineLevel="0" collapsed="false">
      <c r="A220" s="2" t="str">
        <f aca="false">IFERROR(__xludf.dummyfunction("""COMPUTED_VALUE"""),"HET/KAN/1491")</f>
        <v>HET/KAN/1491</v>
      </c>
      <c r="B220" s="2" t="str">
        <f aca="false">IFERROR(__xludf.dummyfunction("""COMPUTED_VALUE"""),"K Divya Jyothi")</f>
        <v>K Divya Jyothi</v>
      </c>
      <c r="C220" s="2" t="str">
        <f aca="false">IFERROR(__xludf.dummyfunction("""COMPUTED_VALUE"""),"School Faculty (Academics)")</f>
        <v>School Faculty (Academics)</v>
      </c>
      <c r="D220" s="2" t="str">
        <f aca="false">IFERROR(__xludf.dummyfunction("""COMPUTED_VALUE"""),"Kanha")</f>
        <v>Kanha</v>
      </c>
      <c r="E220" s="16" t="n">
        <f aca="false">IFERROR(__xludf.dummyfunction("""COMPUTED_VALUE"""),43977)</f>
        <v>43977</v>
      </c>
      <c r="F220" s="9" t="n">
        <f aca="false">IFERROR(__xludf.dummyfunction("""COMPUTED_VALUE"""),15000)</f>
        <v>15000</v>
      </c>
      <c r="G220" s="2" t="n">
        <f aca="false">IFERROR(__xludf.dummyfunction("""COMPUTED_VALUE"""),30)</f>
        <v>30</v>
      </c>
      <c r="H220" s="2" t="n">
        <f aca="false">IFERROR(__xludf.dummyfunction("""COMPUTED_VALUE"""),30)</f>
        <v>30</v>
      </c>
      <c r="I220" s="9" t="n">
        <f aca="false">IFERROR(__xludf.dummyfunction("""COMPUTED_VALUE"""),180000)</f>
        <v>180000</v>
      </c>
      <c r="J220" s="9" t="n">
        <f aca="false">IFERROR(__xludf.dummyfunction("""COMPUTED_VALUE"""),312)</f>
        <v>312</v>
      </c>
      <c r="K220" s="9"/>
      <c r="L220" s="9"/>
      <c r="M220" s="9"/>
    </row>
    <row r="221" customFormat="false" ht="15.75" hidden="false" customHeight="false" outlineLevel="0" collapsed="false">
      <c r="A221" s="2" t="str">
        <f aca="false">IFERROR(__xludf.dummyfunction("""COMPUTED_VALUE"""),"HET/KAN/1492")</f>
        <v>HET/KAN/1492</v>
      </c>
      <c r="B221" s="2" t="str">
        <f aca="false">IFERROR(__xludf.dummyfunction("""COMPUTED_VALUE"""),"Soujanya Rani Chinta")</f>
        <v>Soujanya Rani Chinta</v>
      </c>
      <c r="C221" s="2" t="str">
        <f aca="false">IFERROR(__xludf.dummyfunction("""COMPUTED_VALUE"""),"School Faculty (Academics)")</f>
        <v>School Faculty (Academics)</v>
      </c>
      <c r="D221" s="2" t="str">
        <f aca="false">IFERROR(__xludf.dummyfunction("""COMPUTED_VALUE"""),"Kanha")</f>
        <v>Kanha</v>
      </c>
      <c r="E221" s="16" t="n">
        <f aca="false">IFERROR(__xludf.dummyfunction("""COMPUTED_VALUE"""),43977)</f>
        <v>43977</v>
      </c>
      <c r="F221" s="9" t="n">
        <f aca="false">IFERROR(__xludf.dummyfunction("""COMPUTED_VALUE"""),15000)</f>
        <v>15000</v>
      </c>
      <c r="G221" s="2" t="n">
        <f aca="false">IFERROR(__xludf.dummyfunction("""COMPUTED_VALUE"""),30)</f>
        <v>30</v>
      </c>
      <c r="H221" s="2" t="n">
        <f aca="false">IFERROR(__xludf.dummyfunction("""COMPUTED_VALUE"""),30)</f>
        <v>30</v>
      </c>
      <c r="I221" s="9" t="n">
        <f aca="false">IFERROR(__xludf.dummyfunction("""COMPUTED_VALUE"""),180000)</f>
        <v>180000</v>
      </c>
      <c r="J221" s="9" t="n">
        <f aca="false">IFERROR(__xludf.dummyfunction("""COMPUTED_VALUE"""),0)</f>
        <v>0</v>
      </c>
      <c r="K221" s="9"/>
      <c r="L221" s="9"/>
      <c r="M221" s="9"/>
    </row>
    <row r="222" customFormat="false" ht="15.75" hidden="false" customHeight="false" outlineLevel="0" collapsed="false">
      <c r="A222" s="2" t="str">
        <f aca="false">IFERROR(__xludf.dummyfunction("""COMPUTED_VALUE"""),"HET/KAN/1493")</f>
        <v>HET/KAN/1493</v>
      </c>
      <c r="B222" s="2" t="str">
        <f aca="false">IFERROR(__xludf.dummyfunction("""COMPUTED_VALUE"""),"Purnima Muthuswamy")</f>
        <v>Purnima Muthuswamy</v>
      </c>
      <c r="C222" s="2" t="str">
        <f aca="false">IFERROR(__xludf.dummyfunction("""COMPUTED_VALUE"""),"School Faculty (Academics)")</f>
        <v>School Faculty (Academics)</v>
      </c>
      <c r="D222" s="2" t="str">
        <f aca="false">IFERROR(__xludf.dummyfunction("""COMPUTED_VALUE"""),"Kanha")</f>
        <v>Kanha</v>
      </c>
      <c r="E222" s="16" t="n">
        <f aca="false">IFERROR(__xludf.dummyfunction("""COMPUTED_VALUE"""),43977)</f>
        <v>43977</v>
      </c>
      <c r="F222" s="9" t="n">
        <f aca="false">IFERROR(__xludf.dummyfunction("""COMPUTED_VALUE"""),15000)</f>
        <v>15000</v>
      </c>
      <c r="G222" s="2" t="n">
        <f aca="false">IFERROR(__xludf.dummyfunction("""COMPUTED_VALUE"""),30)</f>
        <v>30</v>
      </c>
      <c r="H222" s="2" t="n">
        <f aca="false">IFERROR(__xludf.dummyfunction("""COMPUTED_VALUE"""),30)</f>
        <v>30</v>
      </c>
      <c r="I222" s="9" t="n">
        <f aca="false">IFERROR(__xludf.dummyfunction("""COMPUTED_VALUE"""),180000)</f>
        <v>180000</v>
      </c>
      <c r="J222" s="9" t="n">
        <f aca="false">IFERROR(__xludf.dummyfunction("""COMPUTED_VALUE"""),329)</f>
        <v>329</v>
      </c>
      <c r="K222" s="9"/>
      <c r="L222" s="9"/>
      <c r="M222" s="9"/>
    </row>
    <row r="223" customFormat="false" ht="15.75" hidden="false" customHeight="false" outlineLevel="0" collapsed="false">
      <c r="A223" s="2" t="str">
        <f aca="false">IFERROR(__xludf.dummyfunction("""COMPUTED_VALUE"""),"HET/KAN/1494")</f>
        <v>HET/KAN/1494</v>
      </c>
      <c r="B223" s="2" t="str">
        <f aca="false">IFERROR(__xludf.dummyfunction("""COMPUTED_VALUE"""),"Ponnapalli Phani Durga Mayuri")</f>
        <v>Ponnapalli Phani Durga Mayuri</v>
      </c>
      <c r="C223" s="2" t="str">
        <f aca="false">IFERROR(__xludf.dummyfunction("""COMPUTED_VALUE"""),"School Faculty (Academics)")</f>
        <v>School Faculty (Academics)</v>
      </c>
      <c r="D223" s="2" t="str">
        <f aca="false">IFERROR(__xludf.dummyfunction("""COMPUTED_VALUE"""),"Kanha")</f>
        <v>Kanha</v>
      </c>
      <c r="E223" s="16" t="n">
        <f aca="false">IFERROR(__xludf.dummyfunction("""COMPUTED_VALUE"""),43977)</f>
        <v>43977</v>
      </c>
      <c r="F223" s="9" t="n">
        <f aca="false">IFERROR(__xludf.dummyfunction("""COMPUTED_VALUE"""),15000)</f>
        <v>15000</v>
      </c>
      <c r="G223" s="2" t="n">
        <f aca="false">IFERROR(__xludf.dummyfunction("""COMPUTED_VALUE"""),30)</f>
        <v>30</v>
      </c>
      <c r="H223" s="2" t="n">
        <f aca="false">IFERROR(__xludf.dummyfunction("""COMPUTED_VALUE"""),30)</f>
        <v>30</v>
      </c>
      <c r="I223" s="9" t="n">
        <f aca="false">IFERROR(__xludf.dummyfunction("""COMPUTED_VALUE"""),180000)</f>
        <v>180000</v>
      </c>
      <c r="J223" s="9" t="n">
        <f aca="false">IFERROR(__xludf.dummyfunction("""COMPUTED_VALUE"""),324)</f>
        <v>324</v>
      </c>
      <c r="K223" s="9"/>
      <c r="L223" s="9"/>
      <c r="M223" s="9"/>
    </row>
    <row r="224" customFormat="false" ht="15.75" hidden="false" customHeight="false" outlineLevel="0" collapsed="false">
      <c r="A224" s="2" t="str">
        <f aca="false">IFERROR(__xludf.dummyfunction("""COMPUTED_VALUE"""),"HET/KAN/1495")</f>
        <v>HET/KAN/1495</v>
      </c>
      <c r="B224" s="2" t="str">
        <f aca="false">IFERROR(__xludf.dummyfunction("""COMPUTED_VALUE"""),"Mamta Nainwal")</f>
        <v>Mamta Nainwal</v>
      </c>
      <c r="C224" s="2" t="str">
        <f aca="false">IFERROR(__xludf.dummyfunction("""COMPUTED_VALUE"""),"School Faculty (Academics)")</f>
        <v>School Faculty (Academics)</v>
      </c>
      <c r="D224" s="2" t="str">
        <f aca="false">IFERROR(__xludf.dummyfunction("""COMPUTED_VALUE"""),"Kanha")</f>
        <v>Kanha</v>
      </c>
      <c r="E224" s="16" t="n">
        <f aca="false">IFERROR(__xludf.dummyfunction("""COMPUTED_VALUE"""),43990)</f>
        <v>43990</v>
      </c>
      <c r="F224" s="9" t="n">
        <f aca="false">IFERROR(__xludf.dummyfunction("""COMPUTED_VALUE"""),30000)</f>
        <v>30000</v>
      </c>
      <c r="G224" s="2" t="n">
        <f aca="false">IFERROR(__xludf.dummyfunction("""COMPUTED_VALUE"""),30)</f>
        <v>30</v>
      </c>
      <c r="H224" s="2" t="n">
        <f aca="false">IFERROR(__xludf.dummyfunction("""COMPUTED_VALUE"""),30)</f>
        <v>30</v>
      </c>
      <c r="I224" s="9" t="n">
        <f aca="false">IFERROR(__xludf.dummyfunction("""COMPUTED_VALUE"""),360000)</f>
        <v>360000</v>
      </c>
      <c r="J224" s="9" t="n">
        <f aca="false">IFERROR(__xludf.dummyfunction("""COMPUTED_VALUE"""),0)</f>
        <v>0</v>
      </c>
      <c r="K224" s="9"/>
      <c r="L224" s="9"/>
      <c r="M224" s="9"/>
    </row>
    <row r="225" customFormat="false" ht="15.75" hidden="false" customHeight="false" outlineLevel="0" collapsed="false">
      <c r="A225" s="2" t="str">
        <f aca="false">IFERROR(__xludf.dummyfunction("""COMPUTED_VALUE"""),"HET/KAN/1496")</f>
        <v>HET/KAN/1496</v>
      </c>
      <c r="B225" s="2" t="str">
        <f aca="false">IFERROR(__xludf.dummyfunction("""COMPUTED_VALUE"""),"Usha S")</f>
        <v>Usha S</v>
      </c>
      <c r="C225" s="2" t="str">
        <f aca="false">IFERROR(__xludf.dummyfunction("""COMPUTED_VALUE"""),"School Faculty (Academics)")</f>
        <v>School Faculty (Academics)</v>
      </c>
      <c r="D225" s="2" t="str">
        <f aca="false">IFERROR(__xludf.dummyfunction("""COMPUTED_VALUE"""),"Kanha")</f>
        <v>Kanha</v>
      </c>
      <c r="E225" s="16" t="n">
        <f aca="false">IFERROR(__xludf.dummyfunction("""COMPUTED_VALUE"""),44002)</f>
        <v>44002</v>
      </c>
      <c r="F225" s="9" t="n">
        <f aca="false">IFERROR(__xludf.dummyfunction("""COMPUTED_VALUE"""),15000)</f>
        <v>15000</v>
      </c>
      <c r="G225" s="2" t="n">
        <f aca="false">IFERROR(__xludf.dummyfunction("""COMPUTED_VALUE"""),30)</f>
        <v>30</v>
      </c>
      <c r="H225" s="2" t="n">
        <f aca="false">IFERROR(__xludf.dummyfunction("""COMPUTED_VALUE"""),30)</f>
        <v>30</v>
      </c>
      <c r="I225" s="9" t="n">
        <f aca="false">IFERROR(__xludf.dummyfunction("""COMPUTED_VALUE"""),180000)</f>
        <v>180000</v>
      </c>
      <c r="J225" s="9" t="n">
        <f aca="false">IFERROR(__xludf.dummyfunction("""COMPUTED_VALUE"""),0)</f>
        <v>0</v>
      </c>
      <c r="K225" s="9"/>
      <c r="L225" s="9"/>
      <c r="M225" s="9"/>
    </row>
    <row r="226" customFormat="false" ht="15.75" hidden="false" customHeight="false" outlineLevel="0" collapsed="false">
      <c r="A226" s="2" t="str">
        <f aca="false">IFERROR(__xludf.dummyfunction("""COMPUTED_VALUE"""),"HET/KAN/1417")</f>
        <v>HET/KAN/1417</v>
      </c>
      <c r="B226" s="2" t="str">
        <f aca="false">IFERROR(__xludf.dummyfunction("""COMPUTED_VALUE"""),"P Vamsi Mohan Rao")</f>
        <v>P Vamsi Mohan Rao</v>
      </c>
      <c r="C226" s="2" t="str">
        <f aca="false">IFERROR(__xludf.dummyfunction("""COMPUTED_VALUE"""),"School Faculty (Academics)")</f>
        <v>School Faculty (Academics)</v>
      </c>
      <c r="D226" s="2" t="str">
        <f aca="false">IFERROR(__xludf.dummyfunction("""COMPUTED_VALUE"""),"Kanha")</f>
        <v>Kanha</v>
      </c>
      <c r="E226" s="16" t="n">
        <f aca="false">IFERROR(__xludf.dummyfunction("""COMPUTED_VALUE"""),44013)</f>
        <v>44013</v>
      </c>
      <c r="F226" s="9" t="n">
        <f aca="false">IFERROR(__xludf.dummyfunction("""COMPUTED_VALUE"""),35000)</f>
        <v>35000</v>
      </c>
      <c r="G226" s="2" t="n">
        <f aca="false">IFERROR(__xludf.dummyfunction("""COMPUTED_VALUE"""),30)</f>
        <v>30</v>
      </c>
      <c r="H226" s="2" t="n">
        <f aca="false">IFERROR(__xludf.dummyfunction("""COMPUTED_VALUE"""),30)</f>
        <v>30</v>
      </c>
      <c r="I226" s="9" t="n">
        <f aca="false">IFERROR(__xludf.dummyfunction("""COMPUTED_VALUE"""),420000)</f>
        <v>420000</v>
      </c>
      <c r="J226" s="9" t="n">
        <f aca="false">IFERROR(__xludf.dummyfunction("""COMPUTED_VALUE"""),327)</f>
        <v>327</v>
      </c>
      <c r="K226" s="9"/>
      <c r="L226" s="9"/>
      <c r="M226" s="9"/>
    </row>
    <row r="227" customFormat="false" ht="15.75" hidden="false" customHeight="false" outlineLevel="0" collapsed="false">
      <c r="A227" s="2" t="str">
        <f aca="false">IFERROR(__xludf.dummyfunction("""COMPUTED_VALUE"""),"HET/KAN/1497")</f>
        <v>HET/KAN/1497</v>
      </c>
      <c r="B227" s="2" t="str">
        <f aca="false">IFERROR(__xludf.dummyfunction("""COMPUTED_VALUE"""),"Bibek Dhar")</f>
        <v>Bibek Dhar</v>
      </c>
      <c r="C227" s="2" t="str">
        <f aca="false">IFERROR(__xludf.dummyfunction("""COMPUTED_VALUE"""),"School Faculty (Academics)")</f>
        <v>School Faculty (Academics)</v>
      </c>
      <c r="D227" s="2" t="str">
        <f aca="false">IFERROR(__xludf.dummyfunction("""COMPUTED_VALUE"""),"Kanha")</f>
        <v>Kanha</v>
      </c>
      <c r="E227" s="16" t="n">
        <f aca="false">IFERROR(__xludf.dummyfunction("""COMPUTED_VALUE"""),44015)</f>
        <v>44015</v>
      </c>
      <c r="F227" s="9" t="n">
        <f aca="false">IFERROR(__xludf.dummyfunction("""COMPUTED_VALUE"""),27000)</f>
        <v>27000</v>
      </c>
      <c r="G227" s="2" t="n">
        <f aca="false">IFERROR(__xludf.dummyfunction("""COMPUTED_VALUE"""),30)</f>
        <v>30</v>
      </c>
      <c r="H227" s="2" t="n">
        <f aca="false">IFERROR(__xludf.dummyfunction("""COMPUTED_VALUE"""),30)</f>
        <v>30</v>
      </c>
      <c r="I227" s="9" t="n">
        <f aca="false">IFERROR(__xludf.dummyfunction("""COMPUTED_VALUE"""),324000)</f>
        <v>324000</v>
      </c>
      <c r="J227" s="9" t="n">
        <f aca="false">IFERROR(__xludf.dummyfunction("""COMPUTED_VALUE"""),0)</f>
        <v>0</v>
      </c>
      <c r="K227" s="9"/>
      <c r="L227" s="9"/>
      <c r="M227" s="9"/>
    </row>
    <row r="228" customFormat="false" ht="15.75" hidden="false" customHeight="false" outlineLevel="0" collapsed="false">
      <c r="A228" s="2" t="str">
        <f aca="false">IFERROR(__xludf.dummyfunction("""COMPUTED_VALUE"""),"HET/KAN/1499")</f>
        <v>HET/KAN/1499</v>
      </c>
      <c r="B228" s="2" t="str">
        <f aca="false">IFERROR(__xludf.dummyfunction("""COMPUTED_VALUE"""),"Poulomi Bose")</f>
        <v>Poulomi Bose</v>
      </c>
      <c r="C228" s="2" t="str">
        <f aca="false">IFERROR(__xludf.dummyfunction("""COMPUTED_VALUE"""),"School Faculty (Academics)")</f>
        <v>School Faculty (Academics)</v>
      </c>
      <c r="D228" s="2" t="str">
        <f aca="false">IFERROR(__xludf.dummyfunction("""COMPUTED_VALUE"""),"Kanha")</f>
        <v>Kanha</v>
      </c>
      <c r="E228" s="16" t="n">
        <f aca="false">IFERROR(__xludf.dummyfunction("""COMPUTED_VALUE"""),44025)</f>
        <v>44025</v>
      </c>
      <c r="F228" s="9" t="n">
        <f aca="false">IFERROR(__xludf.dummyfunction("""COMPUTED_VALUE"""),18000)</f>
        <v>18000</v>
      </c>
      <c r="G228" s="2" t="n">
        <f aca="false">IFERROR(__xludf.dummyfunction("""COMPUTED_VALUE"""),30)</f>
        <v>30</v>
      </c>
      <c r="H228" s="2" t="n">
        <f aca="false">IFERROR(__xludf.dummyfunction("""COMPUTED_VALUE"""),30)</f>
        <v>30</v>
      </c>
      <c r="I228" s="9" t="n">
        <f aca="false">IFERROR(__xludf.dummyfunction("""COMPUTED_VALUE"""),216000)</f>
        <v>216000</v>
      </c>
      <c r="J228" s="9" t="n">
        <f aca="false">IFERROR(__xludf.dummyfunction("""COMPUTED_VALUE"""),0)</f>
        <v>0</v>
      </c>
      <c r="K228" s="9"/>
      <c r="L228" s="9"/>
      <c r="M228" s="9"/>
    </row>
    <row r="229" customFormat="false" ht="15.75" hidden="false" customHeight="false" outlineLevel="0" collapsed="false">
      <c r="A229" s="2" t="str">
        <f aca="false">IFERROR(__xludf.dummyfunction("""COMPUTED_VALUE"""),"HET/KAN/1512")</f>
        <v>HET/KAN/1512</v>
      </c>
      <c r="B229" s="2" t="str">
        <f aca="false">IFERROR(__xludf.dummyfunction("""COMPUTED_VALUE"""),"Khushpreet Kaur")</f>
        <v>Khushpreet Kaur</v>
      </c>
      <c r="C229" s="2" t="str">
        <f aca="false">IFERROR(__xludf.dummyfunction("""COMPUTED_VALUE"""),"School Faculty (Academics)")</f>
        <v>School Faculty (Academics)</v>
      </c>
      <c r="D229" s="2" t="str">
        <f aca="false">IFERROR(__xludf.dummyfunction("""COMPUTED_VALUE"""),"Kanha")</f>
        <v>Kanha</v>
      </c>
      <c r="E229" s="16" t="n">
        <f aca="false">IFERROR(__xludf.dummyfunction("""COMPUTED_VALUE"""),43977)</f>
        <v>43977</v>
      </c>
      <c r="F229" s="9" t="n">
        <f aca="false">IFERROR(__xludf.dummyfunction("""COMPUTED_VALUE"""),15000)</f>
        <v>15000</v>
      </c>
      <c r="G229" s="2" t="n">
        <f aca="false">IFERROR(__xludf.dummyfunction("""COMPUTED_VALUE"""),30)</f>
        <v>30</v>
      </c>
      <c r="H229" s="2" t="n">
        <f aca="false">IFERROR(__xludf.dummyfunction("""COMPUTED_VALUE"""),30)</f>
        <v>30</v>
      </c>
      <c r="I229" s="9" t="n">
        <f aca="false">IFERROR(__xludf.dummyfunction("""COMPUTED_VALUE"""),180000)</f>
        <v>180000</v>
      </c>
      <c r="J229" s="9" t="n">
        <f aca="false">IFERROR(__xludf.dummyfunction("""COMPUTED_VALUE"""),0)</f>
        <v>0</v>
      </c>
      <c r="K229" s="9"/>
      <c r="L229" s="9"/>
      <c r="M229" s="9"/>
    </row>
    <row r="230" customFormat="false" ht="15.75" hidden="false" customHeight="false" outlineLevel="0" collapsed="false">
      <c r="A230" s="2" t="str">
        <f aca="false">IFERROR(__xludf.dummyfunction("""COMPUTED_VALUE"""),"HET/KAN/1511")</f>
        <v>HET/KAN/1511</v>
      </c>
      <c r="B230" s="2" t="str">
        <f aca="false">IFERROR(__xludf.dummyfunction("""COMPUTED_VALUE"""),"Vijayan S")</f>
        <v>Vijayan S</v>
      </c>
      <c r="C230" s="2" t="str">
        <f aca="false">IFERROR(__xludf.dummyfunction("""COMPUTED_VALUE"""),"School Faculty (Academics)")</f>
        <v>School Faculty (Academics)</v>
      </c>
      <c r="D230" s="2" t="str">
        <f aca="false">IFERROR(__xludf.dummyfunction("""COMPUTED_VALUE"""),"Kanha")</f>
        <v>Kanha</v>
      </c>
      <c r="E230" s="16" t="n">
        <f aca="false">IFERROR(__xludf.dummyfunction("""COMPUTED_VALUE"""),44053)</f>
        <v>44053</v>
      </c>
      <c r="F230" s="9" t="n">
        <f aca="false">IFERROR(__xludf.dummyfunction("""COMPUTED_VALUE"""),24905)</f>
        <v>24905</v>
      </c>
      <c r="G230" s="2" t="n">
        <f aca="false">IFERROR(__xludf.dummyfunction("""COMPUTED_VALUE"""),30)</f>
        <v>30</v>
      </c>
      <c r="H230" s="2" t="n">
        <f aca="false">IFERROR(__xludf.dummyfunction("""COMPUTED_VALUE"""),30)</f>
        <v>30</v>
      </c>
      <c r="I230" s="9" t="n">
        <f aca="false">IFERROR(__xludf.dummyfunction("""COMPUTED_VALUE"""),298860)</f>
        <v>298860</v>
      </c>
      <c r="J230" s="9" t="n">
        <f aca="false">IFERROR(__xludf.dummyfunction("""COMPUTED_VALUE"""),95)</f>
        <v>95</v>
      </c>
      <c r="K230" s="9"/>
      <c r="L230" s="9"/>
      <c r="M230" s="9"/>
    </row>
    <row r="231" customFormat="false" ht="15.75" hidden="false" customHeight="false" outlineLevel="0" collapsed="false">
      <c r="A231" s="2" t="str">
        <f aca="false">IFERROR(__xludf.dummyfunction("""COMPUTED_VALUE"""),"HFI/KAN/0929")</f>
        <v>HFI/KAN/0929</v>
      </c>
      <c r="B231" s="2" t="str">
        <f aca="false">IFERROR(__xludf.dummyfunction("""COMPUTED_VALUE"""),"Aruna Raghavan")</f>
        <v>Aruna Raghavan</v>
      </c>
      <c r="C231" s="2" t="str">
        <f aca="false">IFERROR(__xludf.dummyfunction("""COMPUTED_VALUE"""),"Accounts")</f>
        <v>Accounts</v>
      </c>
      <c r="D231" s="2" t="str">
        <f aca="false">IFERROR(__xludf.dummyfunction("""COMPUTED_VALUE"""),"Kanha")</f>
        <v>Kanha</v>
      </c>
      <c r="E231" s="16" t="n">
        <f aca="false">IFERROR(__xludf.dummyfunction("""COMPUTED_VALUE"""),41122)</f>
        <v>41122</v>
      </c>
      <c r="F231" s="9" t="n">
        <f aca="false">IFERROR(__xludf.dummyfunction("""COMPUTED_VALUE"""),78750)</f>
        <v>78750</v>
      </c>
      <c r="G231" s="2" t="n">
        <f aca="false">IFERROR(__xludf.dummyfunction("""COMPUTED_VALUE"""),30)</f>
        <v>30</v>
      </c>
      <c r="H231" s="2" t="n">
        <f aca="false">IFERROR(__xludf.dummyfunction("""COMPUTED_VALUE"""),30)</f>
        <v>30</v>
      </c>
      <c r="I231" s="9" t="n">
        <f aca="false">IFERROR(__xludf.dummyfunction("""COMPUTED_VALUE"""),945000)</f>
        <v>945000</v>
      </c>
      <c r="J231" s="9" t="n">
        <f aca="false">IFERROR(__xludf.dummyfunction("""COMPUTED_VALUE"""),184)</f>
        <v>184</v>
      </c>
      <c r="K231" s="9" t="n">
        <f aca="false">IFERROR(__xludf.dummyfunction("""COMPUTED_VALUE"""),0)</f>
        <v>0</v>
      </c>
      <c r="L231" s="9" t="n">
        <f aca="false">IFERROR(__xludf.dummyfunction("""COMPUTED_VALUE"""),0)</f>
        <v>0</v>
      </c>
      <c r="M231" s="9"/>
    </row>
    <row r="232" customFormat="false" ht="15.75" hidden="false" customHeight="false" outlineLevel="0" collapsed="false">
      <c r="A232" s="2" t="str">
        <f aca="false">IFERROR(__xludf.dummyfunction("""COMPUTED_VALUE"""),"HFI/ALD/1437")</f>
        <v>HFI/ALD/1437</v>
      </c>
      <c r="B232" s="2" t="str">
        <f aca="false">IFERROR(__xludf.dummyfunction("""COMPUTED_VALUE"""),"Sanju Lata")</f>
        <v>Sanju Lata</v>
      </c>
      <c r="C232" s="2" t="str">
        <f aca="false">IFERROR(__xludf.dummyfunction("""COMPUTED_VALUE"""),"Welcome Lounge")</f>
        <v>Welcome Lounge</v>
      </c>
      <c r="D232" s="2" t="str">
        <f aca="false">IFERROR(__xludf.dummyfunction("""COMPUTED_VALUE"""),"Allahabad")</f>
        <v>Allahabad</v>
      </c>
      <c r="E232" s="16" t="n">
        <f aca="false">IFERROR(__xludf.dummyfunction("""COMPUTED_VALUE"""),43498)</f>
        <v>43498</v>
      </c>
      <c r="F232" s="9" t="n">
        <f aca="false">IFERROR(__xludf.dummyfunction("""COMPUTED_VALUE"""),10000)</f>
        <v>10000</v>
      </c>
      <c r="G232" s="2" t="n">
        <f aca="false">IFERROR(__xludf.dummyfunction("""COMPUTED_VALUE"""),30)</f>
        <v>30</v>
      </c>
      <c r="H232" s="2" t="n">
        <f aca="false">IFERROR(__xludf.dummyfunction("""COMPUTED_VALUE"""),30)</f>
        <v>30</v>
      </c>
      <c r="I232" s="9" t="n">
        <f aca="false">IFERROR(__xludf.dummyfunction("""COMPUTED_VALUE"""),120000)</f>
        <v>120000</v>
      </c>
      <c r="J232" s="9" t="n">
        <f aca="false">IFERROR(__xludf.dummyfunction("""COMPUTED_VALUE"""),163)</f>
        <v>163</v>
      </c>
      <c r="K232" s="9" t="n">
        <f aca="false">IFERROR(__xludf.dummyfunction("""COMPUTED_VALUE"""),0)</f>
        <v>0</v>
      </c>
      <c r="L232" s="9" t="n">
        <f aca="false">IFERROR(__xludf.dummyfunction("""COMPUTED_VALUE"""),0)</f>
        <v>0</v>
      </c>
      <c r="M232" s="9"/>
    </row>
    <row r="233" customFormat="false" ht="15.75" hidden="false" customHeight="false" outlineLevel="0" collapsed="false">
      <c r="A233" s="2" t="str">
        <f aca="false">IFERROR(__xludf.dummyfunction("""COMPUTED_VALUE"""),"HFI/KAN/1376")</f>
        <v>HFI/KAN/1376</v>
      </c>
      <c r="B233" s="2" t="str">
        <f aca="false">IFERROR(__xludf.dummyfunction("""COMPUTED_VALUE"""),"Jyoti G")</f>
        <v>Jyoti G</v>
      </c>
      <c r="C233" s="2" t="str">
        <f aca="false">IFERROR(__xludf.dummyfunction("""COMPUTED_VALUE"""),"Program Manager")</f>
        <v>Program Manager</v>
      </c>
      <c r="D233" s="2" t="str">
        <f aca="false">IFERROR(__xludf.dummyfunction("""COMPUTED_VALUE"""),"Bangalore")</f>
        <v>Bangalore</v>
      </c>
      <c r="E233" s="16" t="n">
        <f aca="false">IFERROR(__xludf.dummyfunction("""COMPUTED_VALUE"""),43617)</f>
        <v>43617</v>
      </c>
      <c r="F233" s="9" t="n">
        <f aca="false">IFERROR(__xludf.dummyfunction("""COMPUTED_VALUE"""),25000)</f>
        <v>25000</v>
      </c>
      <c r="G233" s="2" t="n">
        <f aca="false">IFERROR(__xludf.dummyfunction("""COMPUTED_VALUE"""),30)</f>
        <v>30</v>
      </c>
      <c r="H233" s="2" t="n">
        <f aca="false">IFERROR(__xludf.dummyfunction("""COMPUTED_VALUE"""),30)</f>
        <v>30</v>
      </c>
      <c r="I233" s="9" t="n">
        <f aca="false">IFERROR(__xludf.dummyfunction("""COMPUTED_VALUE"""),300000)</f>
        <v>300000</v>
      </c>
      <c r="J233" s="9" t="n">
        <f aca="false">IFERROR(__xludf.dummyfunction("""COMPUTED_VALUE"""),169)</f>
        <v>169</v>
      </c>
      <c r="K233" s="9" t="n">
        <f aca="false">IFERROR(__xludf.dummyfunction("""COMPUTED_VALUE"""),0)</f>
        <v>0</v>
      </c>
      <c r="L233" s="9" t="n">
        <f aca="false">IFERROR(__xludf.dummyfunction("""COMPUTED_VALUE"""),500)</f>
        <v>500</v>
      </c>
      <c r="M233" s="9"/>
    </row>
    <row r="234" customFormat="false" ht="15.75" hidden="false" customHeight="false" outlineLevel="0" collapsed="false">
      <c r="A234" s="2" t="str">
        <f aca="false">IFERROR(__xludf.dummyfunction("""COMPUTED_VALUE"""),"HFI/KAN/1147")</f>
        <v>HFI/KAN/1147</v>
      </c>
      <c r="B234" s="2" t="str">
        <f aca="false">IFERROR(__xludf.dummyfunction("""COMPUTED_VALUE"""),"Himani Nandwana")</f>
        <v>Himani Nandwana</v>
      </c>
      <c r="C234" s="2" t="str">
        <f aca="false">IFERROR(__xludf.dummyfunction("""COMPUTED_VALUE"""),"Content Writer-Web&amp;Social Media")</f>
        <v>Content Writer-Web&amp;Social Media</v>
      </c>
      <c r="D234" s="2" t="str">
        <f aca="false">IFERROR(__xludf.dummyfunction("""COMPUTED_VALUE"""),"Kanha")</f>
        <v>Kanha</v>
      </c>
      <c r="E234" s="16" t="n">
        <f aca="false">IFERROR(__xludf.dummyfunction("""COMPUTED_VALUE"""),43647)</f>
        <v>43647</v>
      </c>
      <c r="F234" s="9" t="n">
        <f aca="false">IFERROR(__xludf.dummyfunction("""COMPUTED_VALUE"""),45833)</f>
        <v>45833</v>
      </c>
      <c r="G234" s="2" t="n">
        <f aca="false">IFERROR(__xludf.dummyfunction("""COMPUTED_VALUE"""),30)</f>
        <v>30</v>
      </c>
      <c r="H234" s="2" t="n">
        <f aca="false">IFERROR(__xludf.dummyfunction("""COMPUTED_VALUE"""),30)</f>
        <v>30</v>
      </c>
      <c r="I234" s="9" t="n">
        <f aca="false">IFERROR(__xludf.dummyfunction("""COMPUTED_VALUE"""),549996)</f>
        <v>549996</v>
      </c>
      <c r="J234" s="9" t="n">
        <f aca="false">IFERROR(__xludf.dummyfunction("""COMPUTED_VALUE"""),201)</f>
        <v>201</v>
      </c>
      <c r="K234" s="9" t="n">
        <f aca="false">IFERROR(__xludf.dummyfunction("""COMPUTED_VALUE"""),0)</f>
        <v>0</v>
      </c>
      <c r="L234" s="9" t="n">
        <f aca="false">IFERROR(__xludf.dummyfunction("""COMPUTED_VALUE"""),0)</f>
        <v>0</v>
      </c>
      <c r="M234" s="9"/>
    </row>
    <row r="235" customFormat="false" ht="15.75" hidden="false" customHeight="false" outlineLevel="0" collapsed="false">
      <c r="A235" s="2" t="str">
        <f aca="false">IFERROR(__xludf.dummyfunction("""COMPUTED_VALUE"""),"HFI/KAN/1148")</f>
        <v>HFI/KAN/1148</v>
      </c>
      <c r="B235" s="2" t="str">
        <f aca="false">IFERROR(__xludf.dummyfunction("""COMPUTED_VALUE"""),"Gayatri Jayaraman")</f>
        <v>Gayatri Jayaraman</v>
      </c>
      <c r="C235" s="2" t="str">
        <f aca="false">IFERROR(__xludf.dummyfunction("""COMPUTED_VALUE"""),"Content Writer")</f>
        <v>Content Writer</v>
      </c>
      <c r="D235" s="2" t="str">
        <f aca="false">IFERROR(__xludf.dummyfunction("""COMPUTED_VALUE"""),"Kanha")</f>
        <v>Kanha</v>
      </c>
      <c r="E235" s="16" t="n">
        <f aca="false">IFERROR(__xludf.dummyfunction("""COMPUTED_VALUE"""),43678)</f>
        <v>43678</v>
      </c>
      <c r="F235" s="9" t="n">
        <f aca="false">IFERROR(__xludf.dummyfunction("""COMPUTED_VALUE"""),27000)</f>
        <v>27000</v>
      </c>
      <c r="G235" s="2" t="n">
        <f aca="false">IFERROR(__xludf.dummyfunction("""COMPUTED_VALUE"""),30)</f>
        <v>30</v>
      </c>
      <c r="H235" s="2" t="n">
        <f aca="false">IFERROR(__xludf.dummyfunction("""COMPUTED_VALUE"""),30)</f>
        <v>30</v>
      </c>
      <c r="I235" s="9" t="n">
        <f aca="false">IFERROR(__xludf.dummyfunction("""COMPUTED_VALUE"""),324000)</f>
        <v>324000</v>
      </c>
      <c r="J235" s="9" t="n">
        <f aca="false">IFERROR(__xludf.dummyfunction("""COMPUTED_VALUE"""),201)</f>
        <v>201</v>
      </c>
      <c r="K235" s="9" t="n">
        <f aca="false">IFERROR(__xludf.dummyfunction("""COMPUTED_VALUE"""),0)</f>
        <v>0</v>
      </c>
      <c r="L235" s="9" t="n">
        <f aca="false">IFERROR(__xludf.dummyfunction("""COMPUTED_VALUE"""),0)</f>
        <v>0</v>
      </c>
      <c r="M235" s="9"/>
    </row>
    <row r="236" customFormat="false" ht="15.75" hidden="false" customHeight="false" outlineLevel="0" collapsed="false">
      <c r="A236" s="2" t="str">
        <f aca="false">IFERROR(__xludf.dummyfunction("""COMPUTED_VALUE"""),"HFI/KAN/1195")</f>
        <v>HFI/KAN/1195</v>
      </c>
      <c r="B236" s="2" t="str">
        <f aca="false">IFERROR(__xludf.dummyfunction("""COMPUTED_VALUE"""),"Avuthu Sushmitha")</f>
        <v>Avuthu Sushmitha</v>
      </c>
      <c r="C236" s="2" t="str">
        <f aca="false">IFERROR(__xludf.dummyfunction("""COMPUTED_VALUE"""),"HR Department")</f>
        <v>HR Department</v>
      </c>
      <c r="D236" s="2" t="str">
        <f aca="false">IFERROR(__xludf.dummyfunction("""COMPUTED_VALUE"""),"Kanha")</f>
        <v>Kanha</v>
      </c>
      <c r="E236" s="16" t="n">
        <f aca="false">IFERROR(__xludf.dummyfunction("""COMPUTED_VALUE"""),43693)</f>
        <v>43693</v>
      </c>
      <c r="F236" s="9" t="n">
        <f aca="false">IFERROR(__xludf.dummyfunction("""COMPUTED_VALUE"""),15000)</f>
        <v>15000</v>
      </c>
      <c r="G236" s="2" t="n">
        <f aca="false">IFERROR(__xludf.dummyfunction("""COMPUTED_VALUE"""),30)</f>
        <v>30</v>
      </c>
      <c r="H236" s="2" t="n">
        <f aca="false">IFERROR(__xludf.dummyfunction("""COMPUTED_VALUE"""),30)</f>
        <v>30</v>
      </c>
      <c r="I236" s="9" t="n">
        <f aca="false">IFERROR(__xludf.dummyfunction("""COMPUTED_VALUE"""),180000)</f>
        <v>180000</v>
      </c>
      <c r="J236" s="9" t="n">
        <f aca="false">IFERROR(__xludf.dummyfunction("""COMPUTED_VALUE"""),55)</f>
        <v>55</v>
      </c>
      <c r="K236" s="9" t="n">
        <f aca="false">IFERROR(__xludf.dummyfunction("""COMPUTED_VALUE"""),0)</f>
        <v>0</v>
      </c>
      <c r="L236" s="9" t="n">
        <f aca="false">IFERROR(__xludf.dummyfunction("""COMPUTED_VALUE"""),0)</f>
        <v>0</v>
      </c>
      <c r="M236" s="9"/>
    </row>
    <row r="237" customFormat="false" ht="15.75" hidden="false" customHeight="false" outlineLevel="0" collapsed="false">
      <c r="A237" s="2" t="str">
        <f aca="false">IFERROR(__xludf.dummyfunction("""COMPUTED_VALUE"""),"HFI/KAN/1243")</f>
        <v>HFI/KAN/1243</v>
      </c>
      <c r="B237" s="2" t="str">
        <f aca="false">IFERROR(__xludf.dummyfunction("""COMPUTED_VALUE"""),"Bandi Narayana")</f>
        <v>Bandi Narayana</v>
      </c>
      <c r="C237" s="2" t="str">
        <f aca="false">IFERROR(__xludf.dummyfunction("""COMPUTED_VALUE"""),"HFN Service Team")</f>
        <v>HFN Service Team</v>
      </c>
      <c r="D237" s="2" t="str">
        <f aca="false">IFERROR(__xludf.dummyfunction("""COMPUTED_VALUE"""),"TS")</f>
        <v>TS</v>
      </c>
      <c r="E237" s="16" t="n">
        <f aca="false">IFERROR(__xludf.dummyfunction("""COMPUTED_VALUE"""),43749)</f>
        <v>43749</v>
      </c>
      <c r="F237" s="9" t="n">
        <f aca="false">IFERROR(__xludf.dummyfunction("""COMPUTED_VALUE"""),25000)</f>
        <v>25000</v>
      </c>
      <c r="G237" s="2" t="n">
        <f aca="false">IFERROR(__xludf.dummyfunction("""COMPUTED_VALUE"""),30)</f>
        <v>30</v>
      </c>
      <c r="H237" s="2" t="n">
        <f aca="false">IFERROR(__xludf.dummyfunction("""COMPUTED_VALUE"""),30)</f>
        <v>30</v>
      </c>
      <c r="I237" s="9" t="n">
        <f aca="false">IFERROR(__xludf.dummyfunction("""COMPUTED_VALUE"""),300000)</f>
        <v>300000</v>
      </c>
      <c r="J237" s="9" t="n">
        <f aca="false">IFERROR(__xludf.dummyfunction("""COMPUTED_VALUE"""),201)</f>
        <v>201</v>
      </c>
      <c r="K237" s="9" t="n">
        <f aca="false">IFERROR(__xludf.dummyfunction("""COMPUTED_VALUE"""),0)</f>
        <v>0</v>
      </c>
      <c r="L237" s="9" t="n">
        <f aca="false">IFERROR(__xludf.dummyfunction("""COMPUTED_VALUE"""),0)</f>
        <v>0</v>
      </c>
      <c r="M237" s="9"/>
    </row>
    <row r="238" customFormat="false" ht="15.75" hidden="false" customHeight="false" outlineLevel="0" collapsed="false">
      <c r="A238" s="2" t="str">
        <f aca="false">IFERROR(__xludf.dummyfunction("""COMPUTED_VALUE"""),"HFI/KAN/1221")</f>
        <v>HFI/KAN/1221</v>
      </c>
      <c r="B238" s="2" t="str">
        <f aca="false">IFERROR(__xludf.dummyfunction("""COMPUTED_VALUE"""),"Nagesh Vaddepally")</f>
        <v>Nagesh Vaddepally</v>
      </c>
      <c r="C238" s="2" t="str">
        <f aca="false">IFERROR(__xludf.dummyfunction("""COMPUTED_VALUE"""),"HFN Service Team")</f>
        <v>HFN Service Team</v>
      </c>
      <c r="D238" s="2" t="str">
        <f aca="false">IFERROR(__xludf.dummyfunction("""COMPUTED_VALUE"""),"TS")</f>
        <v>TS</v>
      </c>
      <c r="E238" s="16" t="n">
        <f aca="false">IFERROR(__xludf.dummyfunction("""COMPUTED_VALUE"""),43749)</f>
        <v>43749</v>
      </c>
      <c r="F238" s="9" t="n">
        <f aca="false">IFERROR(__xludf.dummyfunction("""COMPUTED_VALUE"""),25000)</f>
        <v>25000</v>
      </c>
      <c r="G238" s="2" t="n">
        <f aca="false">IFERROR(__xludf.dummyfunction("""COMPUTED_VALUE"""),30)</f>
        <v>30</v>
      </c>
      <c r="H238" s="2" t="n">
        <f aca="false">IFERROR(__xludf.dummyfunction("""COMPUTED_VALUE"""),30)</f>
        <v>30</v>
      </c>
      <c r="I238" s="9" t="n">
        <f aca="false">IFERROR(__xludf.dummyfunction("""COMPUTED_VALUE"""),300000)</f>
        <v>300000</v>
      </c>
      <c r="J238" s="9" t="n">
        <f aca="false">IFERROR(__xludf.dummyfunction("""COMPUTED_VALUE"""),248)</f>
        <v>248</v>
      </c>
      <c r="K238" s="9" t="n">
        <f aca="false">IFERROR(__xludf.dummyfunction("""COMPUTED_VALUE"""),0)</f>
        <v>0</v>
      </c>
      <c r="L238" s="9" t="n">
        <f aca="false">IFERROR(__xludf.dummyfunction("""COMPUTED_VALUE"""),0)</f>
        <v>0</v>
      </c>
      <c r="M238" s="9"/>
    </row>
    <row r="239" customFormat="false" ht="15.75" hidden="false" customHeight="false" outlineLevel="0" collapsed="false">
      <c r="A239" s="2" t="str">
        <f aca="false">IFERROR(__xludf.dummyfunction("""COMPUTED_VALUE"""),"HFI/KAN/1222")</f>
        <v>HFI/KAN/1222</v>
      </c>
      <c r="B239" s="2" t="str">
        <f aca="false">IFERROR(__xludf.dummyfunction("""COMPUTED_VALUE"""),"Ramadevi Nampally")</f>
        <v>Ramadevi Nampally</v>
      </c>
      <c r="C239" s="2" t="str">
        <f aca="false">IFERROR(__xludf.dummyfunction("""COMPUTED_VALUE"""),"HFN Service Team")</f>
        <v>HFN Service Team</v>
      </c>
      <c r="D239" s="2" t="str">
        <f aca="false">IFERROR(__xludf.dummyfunction("""COMPUTED_VALUE"""),"TS")</f>
        <v>TS</v>
      </c>
      <c r="E239" s="16" t="n">
        <f aca="false">IFERROR(__xludf.dummyfunction("""COMPUTED_VALUE"""),43749)</f>
        <v>43749</v>
      </c>
      <c r="F239" s="9" t="n">
        <f aca="false">IFERROR(__xludf.dummyfunction("""COMPUTED_VALUE"""),25000)</f>
        <v>25000</v>
      </c>
      <c r="G239" s="2" t="n">
        <f aca="false">IFERROR(__xludf.dummyfunction("""COMPUTED_VALUE"""),30)</f>
        <v>30</v>
      </c>
      <c r="H239" s="2" t="n">
        <f aca="false">IFERROR(__xludf.dummyfunction("""COMPUTED_VALUE"""),30)</f>
        <v>30</v>
      </c>
      <c r="I239" s="9" t="n">
        <f aca="false">IFERROR(__xludf.dummyfunction("""COMPUTED_VALUE"""),300000)</f>
        <v>300000</v>
      </c>
      <c r="J239" s="9" t="n">
        <f aca="false">IFERROR(__xludf.dummyfunction("""COMPUTED_VALUE"""),312)</f>
        <v>312</v>
      </c>
      <c r="K239" s="9" t="n">
        <f aca="false">IFERROR(__xludf.dummyfunction("""COMPUTED_VALUE"""),0)</f>
        <v>0</v>
      </c>
      <c r="L239" s="9" t="n">
        <f aca="false">IFERROR(__xludf.dummyfunction("""COMPUTED_VALUE"""),0)</f>
        <v>0</v>
      </c>
      <c r="M239" s="9"/>
    </row>
    <row r="240" customFormat="false" ht="15.75" hidden="false" customHeight="false" outlineLevel="0" collapsed="false">
      <c r="A240" s="2" t="str">
        <f aca="false">IFERROR(__xludf.dummyfunction("""COMPUTED_VALUE"""),"HFI/KAN/1223")</f>
        <v>HFI/KAN/1223</v>
      </c>
      <c r="B240" s="2" t="str">
        <f aca="false">IFERROR(__xludf.dummyfunction("""COMPUTED_VALUE"""),"Bharathi Upparapally")</f>
        <v>Bharathi Upparapally</v>
      </c>
      <c r="C240" s="2" t="str">
        <f aca="false">IFERROR(__xludf.dummyfunction("""COMPUTED_VALUE"""),"HFN Service Team")</f>
        <v>HFN Service Team</v>
      </c>
      <c r="D240" s="2" t="str">
        <f aca="false">IFERROR(__xludf.dummyfunction("""COMPUTED_VALUE"""),"TS")</f>
        <v>TS</v>
      </c>
      <c r="E240" s="16" t="n">
        <f aca="false">IFERROR(__xludf.dummyfunction("""COMPUTED_VALUE"""),43749)</f>
        <v>43749</v>
      </c>
      <c r="F240" s="9" t="n">
        <f aca="false">IFERROR(__xludf.dummyfunction("""COMPUTED_VALUE"""),25000)</f>
        <v>25000</v>
      </c>
      <c r="G240" s="2" t="n">
        <f aca="false">IFERROR(__xludf.dummyfunction("""COMPUTED_VALUE"""),30)</f>
        <v>30</v>
      </c>
      <c r="H240" s="2" t="n">
        <f aca="false">IFERROR(__xludf.dummyfunction("""COMPUTED_VALUE"""),30)</f>
        <v>30</v>
      </c>
      <c r="I240" s="9" t="n">
        <f aca="false">IFERROR(__xludf.dummyfunction("""COMPUTED_VALUE"""),300000)</f>
        <v>300000</v>
      </c>
      <c r="J240" s="9" t="n">
        <f aca="false">IFERROR(__xludf.dummyfunction("""COMPUTED_VALUE"""),211)</f>
        <v>211</v>
      </c>
      <c r="K240" s="9" t="n">
        <f aca="false">IFERROR(__xludf.dummyfunction("""COMPUTED_VALUE"""),0)</f>
        <v>0</v>
      </c>
      <c r="L240" s="9" t="n">
        <f aca="false">IFERROR(__xludf.dummyfunction("""COMPUTED_VALUE"""),0)</f>
        <v>0</v>
      </c>
      <c r="M240" s="9"/>
    </row>
    <row r="241" customFormat="false" ht="15.75" hidden="false" customHeight="false" outlineLevel="0" collapsed="false">
      <c r="A241" s="2" t="str">
        <f aca="false">IFERROR(__xludf.dummyfunction("""COMPUTED_VALUE"""),"HFI/KAN/1224")</f>
        <v>HFI/KAN/1224</v>
      </c>
      <c r="B241" s="2" t="str">
        <f aca="false">IFERROR(__xludf.dummyfunction("""COMPUTED_VALUE"""),"Sudarshan Gande")</f>
        <v>Sudarshan Gande</v>
      </c>
      <c r="C241" s="2" t="str">
        <f aca="false">IFERROR(__xludf.dummyfunction("""COMPUTED_VALUE"""),"HFN Service Team")</f>
        <v>HFN Service Team</v>
      </c>
      <c r="D241" s="2" t="str">
        <f aca="false">IFERROR(__xludf.dummyfunction("""COMPUTED_VALUE"""),"TS")</f>
        <v>TS</v>
      </c>
      <c r="E241" s="16" t="n">
        <f aca="false">IFERROR(__xludf.dummyfunction("""COMPUTED_VALUE"""),43749)</f>
        <v>43749</v>
      </c>
      <c r="F241" s="9" t="n">
        <f aca="false">IFERROR(__xludf.dummyfunction("""COMPUTED_VALUE"""),25000)</f>
        <v>25000</v>
      </c>
      <c r="G241" s="2" t="n">
        <f aca="false">IFERROR(__xludf.dummyfunction("""COMPUTED_VALUE"""),30)</f>
        <v>30</v>
      </c>
      <c r="H241" s="2" t="n">
        <f aca="false">IFERROR(__xludf.dummyfunction("""COMPUTED_VALUE"""),30)</f>
        <v>30</v>
      </c>
      <c r="I241" s="9" t="n">
        <f aca="false">IFERROR(__xludf.dummyfunction("""COMPUTED_VALUE"""),300000)</f>
        <v>300000</v>
      </c>
      <c r="J241" s="9" t="n">
        <f aca="false">IFERROR(__xludf.dummyfunction("""COMPUTED_VALUE"""),100)</f>
        <v>100</v>
      </c>
      <c r="K241" s="9" t="n">
        <f aca="false">IFERROR(__xludf.dummyfunction("""COMPUTED_VALUE"""),0)</f>
        <v>0</v>
      </c>
      <c r="L241" s="9" t="n">
        <f aca="false">IFERROR(__xludf.dummyfunction("""COMPUTED_VALUE"""),0)</f>
        <v>0</v>
      </c>
      <c r="M241" s="9"/>
    </row>
    <row r="242" customFormat="false" ht="15.75" hidden="false" customHeight="false" outlineLevel="0" collapsed="false">
      <c r="A242" s="2" t="str">
        <f aca="false">IFERROR(__xludf.dummyfunction("""COMPUTED_VALUE"""),"HFI/KAN/1244")</f>
        <v>HFI/KAN/1244</v>
      </c>
      <c r="B242" s="2" t="str">
        <f aca="false">IFERROR(__xludf.dummyfunction("""COMPUTED_VALUE"""),"Ganesh Manchala")</f>
        <v>Ganesh Manchala</v>
      </c>
      <c r="C242" s="2" t="str">
        <f aca="false">IFERROR(__xludf.dummyfunction("""COMPUTED_VALUE"""),"HFN Service Team")</f>
        <v>HFN Service Team</v>
      </c>
      <c r="D242" s="2" t="str">
        <f aca="false">IFERROR(__xludf.dummyfunction("""COMPUTED_VALUE"""),"TS")</f>
        <v>TS</v>
      </c>
      <c r="E242" s="16" t="n">
        <f aca="false">IFERROR(__xludf.dummyfunction("""COMPUTED_VALUE"""),43749)</f>
        <v>43749</v>
      </c>
      <c r="F242" s="9" t="n">
        <f aca="false">IFERROR(__xludf.dummyfunction("""COMPUTED_VALUE"""),25000)</f>
        <v>25000</v>
      </c>
      <c r="G242" s="2" t="n">
        <f aca="false">IFERROR(__xludf.dummyfunction("""COMPUTED_VALUE"""),30)</f>
        <v>30</v>
      </c>
      <c r="H242" s="2" t="n">
        <f aca="false">IFERROR(__xludf.dummyfunction("""COMPUTED_VALUE"""),30)</f>
        <v>30</v>
      </c>
      <c r="I242" s="9" t="n">
        <f aca="false">IFERROR(__xludf.dummyfunction("""COMPUTED_VALUE"""),300000)</f>
        <v>300000</v>
      </c>
      <c r="J242" s="9" t="n">
        <f aca="false">IFERROR(__xludf.dummyfunction("""COMPUTED_VALUE"""),101)</f>
        <v>101</v>
      </c>
      <c r="K242" s="9" t="n">
        <f aca="false">IFERROR(__xludf.dummyfunction("""COMPUTED_VALUE"""),0)</f>
        <v>0</v>
      </c>
      <c r="L242" s="9" t="n">
        <f aca="false">IFERROR(__xludf.dummyfunction("""COMPUTED_VALUE"""),0)</f>
        <v>0</v>
      </c>
      <c r="M242" s="9"/>
    </row>
    <row r="243" customFormat="false" ht="15.75" hidden="false" customHeight="false" outlineLevel="0" collapsed="false">
      <c r="A243" s="2" t="str">
        <f aca="false">IFERROR(__xludf.dummyfunction("""COMPUTED_VALUE"""),"HFI/KAN/1228")</f>
        <v>HFI/KAN/1228</v>
      </c>
      <c r="B243" s="2" t="str">
        <f aca="false">IFERROR(__xludf.dummyfunction("""COMPUTED_VALUE"""),"Narla.Karunakar")</f>
        <v>Narla.Karunakar</v>
      </c>
      <c r="C243" s="2" t="str">
        <f aca="false">IFERROR(__xludf.dummyfunction("""COMPUTED_VALUE"""),"HFN Service Team")</f>
        <v>HFN Service Team</v>
      </c>
      <c r="D243" s="2" t="str">
        <f aca="false">IFERROR(__xludf.dummyfunction("""COMPUTED_VALUE"""),"TS")</f>
        <v>TS</v>
      </c>
      <c r="E243" s="16" t="n">
        <f aca="false">IFERROR(__xludf.dummyfunction("""COMPUTED_VALUE"""),43749)</f>
        <v>43749</v>
      </c>
      <c r="F243" s="9" t="n">
        <f aca="false">IFERROR(__xludf.dummyfunction("""COMPUTED_VALUE"""),25000)</f>
        <v>25000</v>
      </c>
      <c r="G243" s="2" t="n">
        <f aca="false">IFERROR(__xludf.dummyfunction("""COMPUTED_VALUE"""),30)</f>
        <v>30</v>
      </c>
      <c r="H243" s="2" t="n">
        <f aca="false">IFERROR(__xludf.dummyfunction("""COMPUTED_VALUE"""),30)</f>
        <v>30</v>
      </c>
      <c r="I243" s="9" t="n">
        <f aca="false">IFERROR(__xludf.dummyfunction("""COMPUTED_VALUE"""),300000)</f>
        <v>300000</v>
      </c>
      <c r="J243" s="9" t="n">
        <f aca="false">IFERROR(__xludf.dummyfunction("""COMPUTED_VALUE"""),303)</f>
        <v>303</v>
      </c>
      <c r="K243" s="9" t="n">
        <f aca="false">IFERROR(__xludf.dummyfunction("""COMPUTED_VALUE"""),0)</f>
        <v>0</v>
      </c>
      <c r="L243" s="9" t="n">
        <f aca="false">IFERROR(__xludf.dummyfunction("""COMPUTED_VALUE"""),0)</f>
        <v>0</v>
      </c>
      <c r="M243" s="9"/>
    </row>
    <row r="244" customFormat="false" ht="15.75" hidden="false" customHeight="false" outlineLevel="0" collapsed="false">
      <c r="A244" s="2" t="str">
        <f aca="false">IFERROR(__xludf.dummyfunction("""COMPUTED_VALUE"""),"HFI/KAN/1230")</f>
        <v>HFI/KAN/1230</v>
      </c>
      <c r="B244" s="2" t="str">
        <f aca="false">IFERROR(__xludf.dummyfunction("""COMPUTED_VALUE"""),"Seethamahalakshmi Andimeni")</f>
        <v>Seethamahalakshmi Andimeni</v>
      </c>
      <c r="C244" s="2" t="str">
        <f aca="false">IFERROR(__xludf.dummyfunction("""COMPUTED_VALUE"""),"HFN Service Team")</f>
        <v>HFN Service Team</v>
      </c>
      <c r="D244" s="2" t="str">
        <f aca="false">IFERROR(__xludf.dummyfunction("""COMPUTED_VALUE"""),"TS")</f>
        <v>TS</v>
      </c>
      <c r="E244" s="16" t="n">
        <f aca="false">IFERROR(__xludf.dummyfunction("""COMPUTED_VALUE"""),43749)</f>
        <v>43749</v>
      </c>
      <c r="F244" s="9" t="n">
        <f aca="false">IFERROR(__xludf.dummyfunction("""COMPUTED_VALUE"""),25000)</f>
        <v>25000</v>
      </c>
      <c r="G244" s="2" t="n">
        <f aca="false">IFERROR(__xludf.dummyfunction("""COMPUTED_VALUE"""),30)</f>
        <v>30</v>
      </c>
      <c r="H244" s="2" t="n">
        <f aca="false">IFERROR(__xludf.dummyfunction("""COMPUTED_VALUE"""),30)</f>
        <v>30</v>
      </c>
      <c r="I244" s="9" t="n">
        <f aca="false">IFERROR(__xludf.dummyfunction("""COMPUTED_VALUE"""),300000)</f>
        <v>300000</v>
      </c>
      <c r="J244" s="9" t="n">
        <f aca="false">IFERROR(__xludf.dummyfunction("""COMPUTED_VALUE"""),358.3)</f>
        <v>358.3</v>
      </c>
      <c r="K244" s="9" t="n">
        <f aca="false">IFERROR(__xludf.dummyfunction("""COMPUTED_VALUE"""),0)</f>
        <v>0</v>
      </c>
      <c r="L244" s="9" t="n">
        <f aca="false">IFERROR(__xludf.dummyfunction("""COMPUTED_VALUE"""),0)</f>
        <v>0</v>
      </c>
      <c r="M244" s="9"/>
    </row>
    <row r="245" customFormat="false" ht="15.75" hidden="false" customHeight="false" outlineLevel="0" collapsed="false">
      <c r="A245" s="2" t="str">
        <f aca="false">IFERROR(__xludf.dummyfunction("""COMPUTED_VALUE"""),"HFI/KAN/1441")</f>
        <v>HFI/KAN/1441</v>
      </c>
      <c r="B245" s="2" t="str">
        <f aca="false">IFERROR(__xludf.dummyfunction("""COMPUTED_VALUE"""),"Lachaiah laxman Bongani")</f>
        <v>Lachaiah laxman Bongani</v>
      </c>
      <c r="C245" s="2" t="str">
        <f aca="false">IFERROR(__xludf.dummyfunction("""COMPUTED_VALUE"""),"HFN Service Team")</f>
        <v>HFN Service Team</v>
      </c>
      <c r="D245" s="2" t="str">
        <f aca="false">IFERROR(__xludf.dummyfunction("""COMPUTED_VALUE"""),"TS")</f>
        <v>TS</v>
      </c>
      <c r="E245" s="16" t="n">
        <f aca="false">IFERROR(__xludf.dummyfunction("""COMPUTED_VALUE"""),43749)</f>
        <v>43749</v>
      </c>
      <c r="F245" s="9" t="n">
        <f aca="false">IFERROR(__xludf.dummyfunction("""COMPUTED_VALUE"""),25000)</f>
        <v>25000</v>
      </c>
      <c r="G245" s="2" t="n">
        <f aca="false">IFERROR(__xludf.dummyfunction("""COMPUTED_VALUE"""),30)</f>
        <v>30</v>
      </c>
      <c r="H245" s="2" t="n">
        <f aca="false">IFERROR(__xludf.dummyfunction("""COMPUTED_VALUE"""),30)</f>
        <v>30</v>
      </c>
      <c r="I245" s="9" t="n">
        <f aca="false">IFERROR(__xludf.dummyfunction("""COMPUTED_VALUE"""),300000)</f>
        <v>300000</v>
      </c>
      <c r="J245" s="9" t="n">
        <f aca="false">IFERROR(__xludf.dummyfunction("""COMPUTED_VALUE"""),303)</f>
        <v>303</v>
      </c>
      <c r="K245" s="9" t="n">
        <f aca="false">IFERROR(__xludf.dummyfunction("""COMPUTED_VALUE"""),0)</f>
        <v>0</v>
      </c>
      <c r="L245" s="9" t="n">
        <f aca="false">IFERROR(__xludf.dummyfunction("""COMPUTED_VALUE"""),0)</f>
        <v>0</v>
      </c>
      <c r="M245" s="9"/>
    </row>
    <row r="246" customFormat="false" ht="15.75" hidden="false" customHeight="false" outlineLevel="0" collapsed="false">
      <c r="A246" s="2" t="str">
        <f aca="false">IFERROR(__xludf.dummyfunction("""COMPUTED_VALUE"""),"HFI/KAN/1232")</f>
        <v>HFI/KAN/1232</v>
      </c>
      <c r="B246" s="2" t="str">
        <f aca="false">IFERROR(__xludf.dummyfunction("""COMPUTED_VALUE"""),"Gunda Pavan Kumar")</f>
        <v>Gunda Pavan Kumar</v>
      </c>
      <c r="C246" s="2" t="str">
        <f aca="false">IFERROR(__xludf.dummyfunction("""COMPUTED_VALUE"""),"HFN Service Team")</f>
        <v>HFN Service Team</v>
      </c>
      <c r="D246" s="2" t="str">
        <f aca="false">IFERROR(__xludf.dummyfunction("""COMPUTED_VALUE"""),"TS")</f>
        <v>TS</v>
      </c>
      <c r="E246" s="16" t="n">
        <f aca="false">IFERROR(__xludf.dummyfunction("""COMPUTED_VALUE"""),43749)</f>
        <v>43749</v>
      </c>
      <c r="F246" s="9" t="n">
        <f aca="false">IFERROR(__xludf.dummyfunction("""COMPUTED_VALUE"""),25000)</f>
        <v>25000</v>
      </c>
      <c r="G246" s="2" t="n">
        <f aca="false">IFERROR(__xludf.dummyfunction("""COMPUTED_VALUE"""),30)</f>
        <v>30</v>
      </c>
      <c r="H246" s="2" t="n">
        <f aca="false">IFERROR(__xludf.dummyfunction("""COMPUTED_VALUE"""),30)</f>
        <v>30</v>
      </c>
      <c r="I246" s="9" t="n">
        <f aca="false">IFERROR(__xludf.dummyfunction("""COMPUTED_VALUE"""),300000)</f>
        <v>300000</v>
      </c>
      <c r="J246" s="9" t="n">
        <f aca="false">IFERROR(__xludf.dummyfunction("""COMPUTED_VALUE"""),312)</f>
        <v>312</v>
      </c>
      <c r="K246" s="9" t="n">
        <f aca="false">IFERROR(__xludf.dummyfunction("""COMPUTED_VALUE"""),0)</f>
        <v>0</v>
      </c>
      <c r="L246" s="9" t="n">
        <f aca="false">IFERROR(__xludf.dummyfunction("""COMPUTED_VALUE"""),0)</f>
        <v>0</v>
      </c>
      <c r="M246" s="9"/>
    </row>
    <row r="247" customFormat="false" ht="15.75" hidden="false" customHeight="false" outlineLevel="0" collapsed="false">
      <c r="A247" s="2" t="str">
        <f aca="false">IFERROR(__xludf.dummyfunction("""COMPUTED_VALUE"""),"HFI/KAN/1233")</f>
        <v>HFI/KAN/1233</v>
      </c>
      <c r="B247" s="2" t="str">
        <f aca="false">IFERROR(__xludf.dummyfunction("""COMPUTED_VALUE"""),"Pittala RajKumar ")</f>
        <v>Pittala RajKumar </v>
      </c>
      <c r="C247" s="2" t="str">
        <f aca="false">IFERROR(__xludf.dummyfunction("""COMPUTED_VALUE"""),"HFN Service Team")</f>
        <v>HFN Service Team</v>
      </c>
      <c r="D247" s="2" t="str">
        <f aca="false">IFERROR(__xludf.dummyfunction("""COMPUTED_VALUE"""),"TS")</f>
        <v>TS</v>
      </c>
      <c r="E247" s="16" t="n">
        <f aca="false">IFERROR(__xludf.dummyfunction("""COMPUTED_VALUE"""),43749)</f>
        <v>43749</v>
      </c>
      <c r="F247" s="9" t="n">
        <f aca="false">IFERROR(__xludf.dummyfunction("""COMPUTED_VALUE"""),25000)</f>
        <v>25000</v>
      </c>
      <c r="G247" s="2" t="n">
        <f aca="false">IFERROR(__xludf.dummyfunction("""COMPUTED_VALUE"""),30)</f>
        <v>30</v>
      </c>
      <c r="H247" s="2" t="n">
        <f aca="false">IFERROR(__xludf.dummyfunction("""COMPUTED_VALUE"""),30)</f>
        <v>30</v>
      </c>
      <c r="I247" s="9" t="n">
        <f aca="false">IFERROR(__xludf.dummyfunction("""COMPUTED_VALUE"""),300000)</f>
        <v>300000</v>
      </c>
      <c r="J247" s="9" t="n">
        <f aca="false">IFERROR(__xludf.dummyfunction("""COMPUTED_VALUE"""),100)</f>
        <v>100</v>
      </c>
      <c r="K247" s="9" t="n">
        <f aca="false">IFERROR(__xludf.dummyfunction("""COMPUTED_VALUE"""),0)</f>
        <v>0</v>
      </c>
      <c r="L247" s="9" t="n">
        <f aca="false">IFERROR(__xludf.dummyfunction("""COMPUTED_VALUE"""),0)</f>
        <v>0</v>
      </c>
      <c r="M247" s="9"/>
    </row>
    <row r="248" customFormat="false" ht="15.75" hidden="false" customHeight="false" outlineLevel="0" collapsed="false">
      <c r="A248" s="2" t="str">
        <f aca="false">IFERROR(__xludf.dummyfunction("""COMPUTED_VALUE"""),"HFI/KAN/1239")</f>
        <v>HFI/KAN/1239</v>
      </c>
      <c r="B248" s="2" t="str">
        <f aca="false">IFERROR(__xludf.dummyfunction("""COMPUTED_VALUE"""),"Badur kannan")</f>
        <v>Badur kannan</v>
      </c>
      <c r="C248" s="2" t="str">
        <f aca="false">IFERROR(__xludf.dummyfunction("""COMPUTED_VALUE"""),"HFN Service Team")</f>
        <v>HFN Service Team</v>
      </c>
      <c r="D248" s="2" t="str">
        <f aca="false">IFERROR(__xludf.dummyfunction("""COMPUTED_VALUE"""),"TS")</f>
        <v>TS</v>
      </c>
      <c r="E248" s="16" t="n">
        <f aca="false">IFERROR(__xludf.dummyfunction("""COMPUTED_VALUE"""),43749)</f>
        <v>43749</v>
      </c>
      <c r="F248" s="9" t="n">
        <f aca="false">IFERROR(__xludf.dummyfunction("""COMPUTED_VALUE"""),25000)</f>
        <v>25000</v>
      </c>
      <c r="G248" s="2" t="n">
        <f aca="false">IFERROR(__xludf.dummyfunction("""COMPUTED_VALUE"""),30)</f>
        <v>30</v>
      </c>
      <c r="H248" s="2" t="n">
        <f aca="false">IFERROR(__xludf.dummyfunction("""COMPUTED_VALUE"""),30)</f>
        <v>30</v>
      </c>
      <c r="I248" s="9" t="n">
        <f aca="false">IFERROR(__xludf.dummyfunction("""COMPUTED_VALUE"""),300000)</f>
        <v>300000</v>
      </c>
      <c r="J248" s="9" t="n">
        <f aca="false">IFERROR(__xludf.dummyfunction("""COMPUTED_VALUE"""),100)</f>
        <v>100</v>
      </c>
      <c r="K248" s="9" t="n">
        <f aca="false">IFERROR(__xludf.dummyfunction("""COMPUTED_VALUE"""),0)</f>
        <v>0</v>
      </c>
      <c r="L248" s="9" t="n">
        <f aca="false">IFERROR(__xludf.dummyfunction("""COMPUTED_VALUE"""),0)</f>
        <v>0</v>
      </c>
      <c r="M248" s="9"/>
    </row>
    <row r="249" customFormat="false" ht="15.75" hidden="false" customHeight="false" outlineLevel="0" collapsed="false">
      <c r="A249" s="2" t="str">
        <f aca="false">IFERROR(__xludf.dummyfunction("""COMPUTED_VALUE"""),"HFI/KAN/1240")</f>
        <v>HFI/KAN/1240</v>
      </c>
      <c r="B249" s="2" t="str">
        <f aca="false">IFERROR(__xludf.dummyfunction("""COMPUTED_VALUE"""),"Byrla Balakrishna")</f>
        <v>Byrla Balakrishna</v>
      </c>
      <c r="C249" s="2" t="str">
        <f aca="false">IFERROR(__xludf.dummyfunction("""COMPUTED_VALUE"""),"HFN Service Team")</f>
        <v>HFN Service Team</v>
      </c>
      <c r="D249" s="2" t="str">
        <f aca="false">IFERROR(__xludf.dummyfunction("""COMPUTED_VALUE"""),"TS")</f>
        <v>TS</v>
      </c>
      <c r="E249" s="16" t="n">
        <f aca="false">IFERROR(__xludf.dummyfunction("""COMPUTED_VALUE"""),43749)</f>
        <v>43749</v>
      </c>
      <c r="F249" s="9" t="n">
        <f aca="false">IFERROR(__xludf.dummyfunction("""COMPUTED_VALUE"""),25000)</f>
        <v>25000</v>
      </c>
      <c r="G249" s="2" t="n">
        <f aca="false">IFERROR(__xludf.dummyfunction("""COMPUTED_VALUE"""),30)</f>
        <v>30</v>
      </c>
      <c r="H249" s="2" t="n">
        <f aca="false">IFERROR(__xludf.dummyfunction("""COMPUTED_VALUE"""),30)</f>
        <v>30</v>
      </c>
      <c r="I249" s="9" t="n">
        <f aca="false">IFERROR(__xludf.dummyfunction("""COMPUTED_VALUE"""),300000)</f>
        <v>300000</v>
      </c>
      <c r="J249" s="9" t="n">
        <f aca="false">IFERROR(__xludf.dummyfunction("""COMPUTED_VALUE"""),359)</f>
        <v>359</v>
      </c>
      <c r="K249" s="9" t="n">
        <f aca="false">IFERROR(__xludf.dummyfunction("""COMPUTED_VALUE"""),0)</f>
        <v>0</v>
      </c>
      <c r="L249" s="9" t="n">
        <f aca="false">IFERROR(__xludf.dummyfunction("""COMPUTED_VALUE"""),0)</f>
        <v>0</v>
      </c>
      <c r="M249" s="9"/>
    </row>
    <row r="250" customFormat="false" ht="15.75" hidden="false" customHeight="false" outlineLevel="0" collapsed="false">
      <c r="A250" s="2" t="str">
        <f aca="false">IFERROR(__xludf.dummyfunction("""COMPUTED_VALUE"""),"HFI/KAN/1245")</f>
        <v>HFI/KAN/1245</v>
      </c>
      <c r="B250" s="2" t="str">
        <f aca="false">IFERROR(__xludf.dummyfunction("""COMPUTED_VALUE"""),"Mugundan Velusamy")</f>
        <v>Mugundan Velusamy</v>
      </c>
      <c r="C250" s="2" t="str">
        <f aca="false">IFERROR(__xludf.dummyfunction("""COMPUTED_VALUE"""),"HFN Service Team")</f>
        <v>HFN Service Team</v>
      </c>
      <c r="D250" s="2" t="str">
        <f aca="false">IFERROR(__xludf.dummyfunction("""COMPUTED_VALUE"""),"TN")</f>
        <v>TN</v>
      </c>
      <c r="E250" s="16" t="n">
        <f aca="false">IFERROR(__xludf.dummyfunction("""COMPUTED_VALUE"""),43749)</f>
        <v>43749</v>
      </c>
      <c r="F250" s="9" t="n">
        <f aca="false">IFERROR(__xludf.dummyfunction("""COMPUTED_VALUE"""),25000)</f>
        <v>25000</v>
      </c>
      <c r="G250" s="2" t="n">
        <f aca="false">IFERROR(__xludf.dummyfunction("""COMPUTED_VALUE"""),30)</f>
        <v>30</v>
      </c>
      <c r="H250" s="2" t="n">
        <f aca="false">IFERROR(__xludf.dummyfunction("""COMPUTED_VALUE"""),30)</f>
        <v>30</v>
      </c>
      <c r="I250" s="9" t="n">
        <f aca="false">IFERROR(__xludf.dummyfunction("""COMPUTED_VALUE"""),300000)</f>
        <v>300000</v>
      </c>
      <c r="J250" s="9" t="n">
        <f aca="false">IFERROR(__xludf.dummyfunction("""COMPUTED_VALUE"""),100)</f>
        <v>100</v>
      </c>
      <c r="K250" s="9" t="n">
        <f aca="false">IFERROR(__xludf.dummyfunction("""COMPUTED_VALUE"""),0)</f>
        <v>0</v>
      </c>
      <c r="L250" s="9" t="n">
        <f aca="false">IFERROR(__xludf.dummyfunction("""COMPUTED_VALUE"""),0)</f>
        <v>0</v>
      </c>
      <c r="M250" s="9"/>
    </row>
    <row r="251" customFormat="false" ht="15.75" hidden="false" customHeight="false" outlineLevel="0" collapsed="false">
      <c r="A251" s="2" t="str">
        <f aca="false">IFERROR(__xludf.dummyfunction("""COMPUTED_VALUE"""),"HFI/KAN/1236")</f>
        <v>HFI/KAN/1236</v>
      </c>
      <c r="B251" s="2" t="str">
        <f aca="false">IFERROR(__xludf.dummyfunction("""COMPUTED_VALUE"""),"Manivannan Rathinam")</f>
        <v>Manivannan Rathinam</v>
      </c>
      <c r="C251" s="2" t="str">
        <f aca="false">IFERROR(__xludf.dummyfunction("""COMPUTED_VALUE"""),"HFN Service Team")</f>
        <v>HFN Service Team</v>
      </c>
      <c r="D251" s="2" t="str">
        <f aca="false">IFERROR(__xludf.dummyfunction("""COMPUTED_VALUE"""),"TN")</f>
        <v>TN</v>
      </c>
      <c r="E251" s="16" t="n">
        <f aca="false">IFERROR(__xludf.dummyfunction("""COMPUTED_VALUE"""),43749)</f>
        <v>43749</v>
      </c>
      <c r="F251" s="9" t="n">
        <f aca="false">IFERROR(__xludf.dummyfunction("""COMPUTED_VALUE"""),25000)</f>
        <v>25000</v>
      </c>
      <c r="G251" s="2" t="n">
        <f aca="false">IFERROR(__xludf.dummyfunction("""COMPUTED_VALUE"""),30)</f>
        <v>30</v>
      </c>
      <c r="H251" s="2" t="n">
        <f aca="false">IFERROR(__xludf.dummyfunction("""COMPUTED_VALUE"""),30)</f>
        <v>30</v>
      </c>
      <c r="I251" s="9" t="n">
        <f aca="false">IFERROR(__xludf.dummyfunction("""COMPUTED_VALUE"""),300000)</f>
        <v>300000</v>
      </c>
      <c r="J251" s="9" t="n">
        <f aca="false">IFERROR(__xludf.dummyfunction("""COMPUTED_VALUE"""),315.970707433865)</f>
        <v>315.970707433865</v>
      </c>
      <c r="K251" s="9" t="n">
        <f aca="false">IFERROR(__xludf.dummyfunction("""COMPUTED_VALUE"""),0)</f>
        <v>0</v>
      </c>
      <c r="L251" s="9" t="n">
        <f aca="false">IFERROR(__xludf.dummyfunction("""COMPUTED_VALUE"""),0)</f>
        <v>0</v>
      </c>
      <c r="M251" s="9"/>
    </row>
    <row r="252" customFormat="false" ht="15.75" hidden="false" customHeight="false" outlineLevel="0" collapsed="false">
      <c r="A252" s="2" t="str">
        <f aca="false">IFERROR(__xludf.dummyfunction("""COMPUTED_VALUE"""),"HFI/KAN/1235")</f>
        <v>HFI/KAN/1235</v>
      </c>
      <c r="B252" s="2" t="str">
        <f aca="false">IFERROR(__xludf.dummyfunction("""COMPUTED_VALUE"""),"Nagendra C Lokaraj")</f>
        <v>Nagendra C Lokaraj</v>
      </c>
      <c r="C252" s="2" t="str">
        <f aca="false">IFERROR(__xludf.dummyfunction("""COMPUTED_VALUE"""),"HFN Service Team")</f>
        <v>HFN Service Team</v>
      </c>
      <c r="D252" s="2" t="str">
        <f aca="false">IFERROR(__xludf.dummyfunction("""COMPUTED_VALUE"""),"TN")</f>
        <v>TN</v>
      </c>
      <c r="E252" s="16" t="n">
        <f aca="false">IFERROR(__xludf.dummyfunction("""COMPUTED_VALUE"""),43749)</f>
        <v>43749</v>
      </c>
      <c r="F252" s="9" t="n">
        <f aca="false">IFERROR(__xludf.dummyfunction("""COMPUTED_VALUE"""),25000)</f>
        <v>25000</v>
      </c>
      <c r="G252" s="2" t="n">
        <f aca="false">IFERROR(__xludf.dummyfunction("""COMPUTED_VALUE"""),30)</f>
        <v>30</v>
      </c>
      <c r="H252" s="2" t="n">
        <f aca="false">IFERROR(__xludf.dummyfunction("""COMPUTED_VALUE"""),30)</f>
        <v>30</v>
      </c>
      <c r="I252" s="9" t="n">
        <f aca="false">IFERROR(__xludf.dummyfunction("""COMPUTED_VALUE"""),300000)</f>
        <v>300000</v>
      </c>
      <c r="J252" s="9" t="n">
        <f aca="false">IFERROR(__xludf.dummyfunction("""COMPUTED_VALUE"""),303)</f>
        <v>303</v>
      </c>
      <c r="K252" s="9" t="n">
        <f aca="false">IFERROR(__xludf.dummyfunction("""COMPUTED_VALUE"""),0)</f>
        <v>0</v>
      </c>
      <c r="L252" s="9" t="n">
        <f aca="false">IFERROR(__xludf.dummyfunction("""COMPUTED_VALUE"""),0)</f>
        <v>0</v>
      </c>
      <c r="M252" s="9"/>
    </row>
    <row r="253" customFormat="false" ht="15.75" hidden="false" customHeight="false" outlineLevel="0" collapsed="false">
      <c r="A253" s="2" t="str">
        <f aca="false">IFERROR(__xludf.dummyfunction("""COMPUTED_VALUE"""),"HFI/KAN/1246")</f>
        <v>HFI/KAN/1246</v>
      </c>
      <c r="B253" s="2" t="str">
        <f aca="false">IFERROR(__xludf.dummyfunction("""COMPUTED_VALUE"""),"A Parameshwari")</f>
        <v>A Parameshwari</v>
      </c>
      <c r="C253" s="2" t="str">
        <f aca="false">IFERROR(__xludf.dummyfunction("""COMPUTED_VALUE"""),"HFN Service Team")</f>
        <v>HFN Service Team</v>
      </c>
      <c r="D253" s="2" t="str">
        <f aca="false">IFERROR(__xludf.dummyfunction("""COMPUTED_VALUE"""),"TS")</f>
        <v>TS</v>
      </c>
      <c r="E253" s="16" t="n">
        <f aca="false">IFERROR(__xludf.dummyfunction("""COMPUTED_VALUE"""),43749)</f>
        <v>43749</v>
      </c>
      <c r="F253" s="9" t="n">
        <f aca="false">IFERROR(__xludf.dummyfunction("""COMPUTED_VALUE"""),18000)</f>
        <v>18000</v>
      </c>
      <c r="G253" s="2" t="n">
        <f aca="false">IFERROR(__xludf.dummyfunction("""COMPUTED_VALUE"""),30)</f>
        <v>30</v>
      </c>
      <c r="H253" s="2" t="n">
        <f aca="false">IFERROR(__xludf.dummyfunction("""COMPUTED_VALUE"""),30)</f>
        <v>30</v>
      </c>
      <c r="I253" s="9" t="n">
        <f aca="false">IFERROR(__xludf.dummyfunction("""COMPUTED_VALUE"""),216000)</f>
        <v>216000</v>
      </c>
      <c r="J253" s="9" t="n">
        <f aca="false">IFERROR(__xludf.dummyfunction("""COMPUTED_VALUE"""),100)</f>
        <v>100</v>
      </c>
      <c r="K253" s="9" t="n">
        <f aca="false">IFERROR(__xludf.dummyfunction("""COMPUTED_VALUE"""),0)</f>
        <v>0</v>
      </c>
      <c r="L253" s="9" t="n">
        <f aca="false">IFERROR(__xludf.dummyfunction("""COMPUTED_VALUE"""),0)</f>
        <v>0</v>
      </c>
      <c r="M253" s="9"/>
    </row>
    <row r="254" customFormat="false" ht="15.75" hidden="false" customHeight="false" outlineLevel="0" collapsed="false">
      <c r="A254" s="2" t="str">
        <f aca="false">IFERROR(__xludf.dummyfunction("""COMPUTED_VALUE"""),"HFI/KAN/1247")</f>
        <v>HFI/KAN/1247</v>
      </c>
      <c r="B254" s="2" t="str">
        <f aca="false">IFERROR(__xludf.dummyfunction("""COMPUTED_VALUE"""),"M Lavanya ")</f>
        <v>M Lavanya </v>
      </c>
      <c r="C254" s="2" t="str">
        <f aca="false">IFERROR(__xludf.dummyfunction("""COMPUTED_VALUE"""),"HFN Service Team")</f>
        <v>HFN Service Team</v>
      </c>
      <c r="D254" s="2" t="str">
        <f aca="false">IFERROR(__xludf.dummyfunction("""COMPUTED_VALUE"""),"TS")</f>
        <v>TS</v>
      </c>
      <c r="E254" s="16" t="n">
        <f aca="false">IFERROR(__xludf.dummyfunction("""COMPUTED_VALUE"""),43749)</f>
        <v>43749</v>
      </c>
      <c r="F254" s="9" t="n">
        <f aca="false">IFERROR(__xludf.dummyfunction("""COMPUTED_VALUE"""),18000)</f>
        <v>18000</v>
      </c>
      <c r="G254" s="2" t="n">
        <f aca="false">IFERROR(__xludf.dummyfunction("""COMPUTED_VALUE"""),30)</f>
        <v>30</v>
      </c>
      <c r="H254" s="2" t="n">
        <f aca="false">IFERROR(__xludf.dummyfunction("""COMPUTED_VALUE"""),30)</f>
        <v>30</v>
      </c>
      <c r="I254" s="9" t="n">
        <f aca="false">IFERROR(__xludf.dummyfunction("""COMPUTED_VALUE"""),216000)</f>
        <v>216000</v>
      </c>
      <c r="J254" s="9" t="n">
        <f aca="false">IFERROR(__xludf.dummyfunction("""COMPUTED_VALUE"""),55)</f>
        <v>55</v>
      </c>
      <c r="K254" s="9" t="n">
        <f aca="false">IFERROR(__xludf.dummyfunction("""COMPUTED_VALUE"""),0)</f>
        <v>0</v>
      </c>
      <c r="L254" s="9" t="n">
        <f aca="false">IFERROR(__xludf.dummyfunction("""COMPUTED_VALUE"""),0)</f>
        <v>0</v>
      </c>
      <c r="M254" s="9"/>
    </row>
    <row r="255" customFormat="false" ht="15.75" hidden="false" customHeight="false" outlineLevel="0" collapsed="false">
      <c r="A255" s="2" t="str">
        <f aca="false">IFERROR(__xludf.dummyfunction("""COMPUTED_VALUE"""),"HFI/KAN/1226")</f>
        <v>HFI/KAN/1226</v>
      </c>
      <c r="B255" s="2" t="str">
        <f aca="false">IFERROR(__xludf.dummyfunction("""COMPUTED_VALUE"""),"Ujwalatha Marampally")</f>
        <v>Ujwalatha Marampally</v>
      </c>
      <c r="C255" s="2" t="str">
        <f aca="false">IFERROR(__xludf.dummyfunction("""COMPUTED_VALUE"""),"HFN Service Team")</f>
        <v>HFN Service Team</v>
      </c>
      <c r="D255" s="2" t="str">
        <f aca="false">IFERROR(__xludf.dummyfunction("""COMPUTED_VALUE"""),"TS")</f>
        <v>TS</v>
      </c>
      <c r="E255" s="16" t="n">
        <f aca="false">IFERROR(__xludf.dummyfunction("""COMPUTED_VALUE"""),43774)</f>
        <v>43774</v>
      </c>
      <c r="F255" s="9" t="n">
        <f aca="false">IFERROR(__xludf.dummyfunction("""COMPUTED_VALUE"""),25000)</f>
        <v>25000</v>
      </c>
      <c r="G255" s="2" t="n">
        <f aca="false">IFERROR(__xludf.dummyfunction("""COMPUTED_VALUE"""),30)</f>
        <v>30</v>
      </c>
      <c r="H255" s="2" t="n">
        <f aca="false">IFERROR(__xludf.dummyfunction("""COMPUTED_VALUE"""),30)</f>
        <v>30</v>
      </c>
      <c r="I255" s="9" t="n">
        <f aca="false">IFERROR(__xludf.dummyfunction("""COMPUTED_VALUE"""),300000)</f>
        <v>300000</v>
      </c>
      <c r="J255" s="9" t="n">
        <f aca="false">IFERROR(__xludf.dummyfunction("""COMPUTED_VALUE"""),271)</f>
        <v>271</v>
      </c>
      <c r="K255" s="9" t="n">
        <f aca="false">IFERROR(__xludf.dummyfunction("""COMPUTED_VALUE"""),0)</f>
        <v>0</v>
      </c>
      <c r="L255" s="9" t="n">
        <f aca="false">IFERROR(__xludf.dummyfunction("""COMPUTED_VALUE"""),0)</f>
        <v>0</v>
      </c>
      <c r="M255" s="9"/>
    </row>
    <row r="256" customFormat="false" ht="15.75" hidden="false" customHeight="false" outlineLevel="0" collapsed="false">
      <c r="A256" s="2" t="str">
        <f aca="false">IFERROR(__xludf.dummyfunction("""COMPUTED_VALUE"""),"HFI/TRL/1322")</f>
        <v>HFI/TRL/1322</v>
      </c>
      <c r="B256" s="2" t="str">
        <f aca="false">IFERROR(__xludf.dummyfunction("""COMPUTED_VALUE"""),"Chandraprakash")</f>
        <v>Chandraprakash</v>
      </c>
      <c r="C256" s="2" t="str">
        <f aca="false">IFERROR(__xludf.dummyfunction("""COMPUTED_VALUE"""),"HST")</f>
        <v>HST</v>
      </c>
      <c r="D256" s="2" t="str">
        <f aca="false">IFERROR(__xludf.dummyfunction("""COMPUTED_VALUE"""),"Thiruvallur")</f>
        <v>Thiruvallur</v>
      </c>
      <c r="E256" s="16" t="n">
        <f aca="false">IFERROR(__xludf.dummyfunction("""COMPUTED_VALUE"""),43801)</f>
        <v>43801</v>
      </c>
      <c r="F256" s="9" t="n">
        <f aca="false">IFERROR(__xludf.dummyfunction("""COMPUTED_VALUE"""),15000)</f>
        <v>15000</v>
      </c>
      <c r="G256" s="2" t="n">
        <f aca="false">IFERROR(__xludf.dummyfunction("""COMPUTED_VALUE"""),30)</f>
        <v>30</v>
      </c>
      <c r="H256" s="2" t="n">
        <f aca="false">IFERROR(__xludf.dummyfunction("""COMPUTED_VALUE"""),30)</f>
        <v>30</v>
      </c>
      <c r="I256" s="9" t="n">
        <f aca="false">IFERROR(__xludf.dummyfunction("""COMPUTED_VALUE"""),180000)</f>
        <v>180000</v>
      </c>
      <c r="J256" s="9" t="n">
        <f aca="false">IFERROR(__xludf.dummyfunction("""COMPUTED_VALUE"""),162)</f>
        <v>162</v>
      </c>
      <c r="K256" s="9" t="n">
        <f aca="false">IFERROR(__xludf.dummyfunction("""COMPUTED_VALUE"""),0)</f>
        <v>0</v>
      </c>
      <c r="L256" s="9" t="n">
        <f aca="false">IFERROR(__xludf.dummyfunction("""COMPUTED_VALUE"""),0)</f>
        <v>0</v>
      </c>
      <c r="M256" s="9"/>
    </row>
    <row r="257" customFormat="false" ht="15.75" hidden="false" customHeight="false" outlineLevel="0" collapsed="false">
      <c r="A257" s="2" t="str">
        <f aca="false">IFERROR(__xludf.dummyfunction("""COMPUTED_VALUE"""),"HFI/TN/1445")</f>
        <v>HFI/TN/1445</v>
      </c>
      <c r="B257" s="2" t="str">
        <f aca="false">IFERROR(__xludf.dummyfunction("""COMPUTED_VALUE"""),"Aiswarya ")</f>
        <v>Aiswarya </v>
      </c>
      <c r="C257" s="2" t="str">
        <f aca="false">IFERROR(__xludf.dummyfunction("""COMPUTED_VALUE""")," Clinical Assistant - Research")</f>
        <v> Clinical Assistant - Research</v>
      </c>
      <c r="D257" s="2" t="str">
        <f aca="false">IFERROR(__xludf.dummyfunction("""COMPUTED_VALUE"""),"Chennai")</f>
        <v>Chennai</v>
      </c>
      <c r="E257" s="16" t="n">
        <f aca="false">IFERROR(__xludf.dummyfunction("""COMPUTED_VALUE"""),43647)</f>
        <v>43647</v>
      </c>
      <c r="F257" s="9" t="n">
        <f aca="false">IFERROR(__xludf.dummyfunction("""COMPUTED_VALUE"""),28000)</f>
        <v>28000</v>
      </c>
      <c r="G257" s="2" t="n">
        <f aca="false">IFERROR(__xludf.dummyfunction("""COMPUTED_VALUE"""),30)</f>
        <v>30</v>
      </c>
      <c r="H257" s="2" t="n">
        <f aca="false">IFERROR(__xludf.dummyfunction("""COMPUTED_VALUE"""),30)</f>
        <v>30</v>
      </c>
      <c r="I257" s="9" t="n">
        <f aca="false">IFERROR(__xludf.dummyfunction("""COMPUTED_VALUE"""),336000)</f>
        <v>336000</v>
      </c>
      <c r="J257" s="9" t="n">
        <f aca="false">IFERROR(__xludf.dummyfunction("""COMPUTED_VALUE"""),0)</f>
        <v>0</v>
      </c>
      <c r="K257" s="9" t="n">
        <f aca="false">IFERROR(__xludf.dummyfunction("""COMPUTED_VALUE"""),0)</f>
        <v>0</v>
      </c>
      <c r="L257" s="9" t="n">
        <f aca="false">IFERROR(__xludf.dummyfunction("""COMPUTED_VALUE"""),0)</f>
        <v>0</v>
      </c>
      <c r="M257" s="9"/>
    </row>
    <row r="258" customFormat="false" ht="15.75" hidden="false" customHeight="false" outlineLevel="0" collapsed="false">
      <c r="A258" s="2" t="str">
        <f aca="false">IFERROR(__xludf.dummyfunction("""COMPUTED_VALUE"""),"HFI/TN/1446")</f>
        <v>HFI/TN/1446</v>
      </c>
      <c r="B258" s="2" t="str">
        <f aca="false">IFERROR(__xludf.dummyfunction("""COMPUTED_VALUE"""),"Varalakshmi")</f>
        <v>Varalakshmi</v>
      </c>
      <c r="C258" s="2" t="str">
        <f aca="false">IFERROR(__xludf.dummyfunction("""COMPUTED_VALUE"""),"Statistician  ")</f>
        <v>Statistician  </v>
      </c>
      <c r="D258" s="2" t="str">
        <f aca="false">IFERROR(__xludf.dummyfunction("""COMPUTED_VALUE"""),"Chennai")</f>
        <v>Chennai</v>
      </c>
      <c r="E258" s="16" t="n">
        <f aca="false">IFERROR(__xludf.dummyfunction("""COMPUTED_VALUE"""),43770)</f>
        <v>43770</v>
      </c>
      <c r="F258" s="9" t="n">
        <f aca="false">IFERROR(__xludf.dummyfunction("""COMPUTED_VALUE"""),15000)</f>
        <v>15000</v>
      </c>
      <c r="G258" s="2" t="n">
        <f aca="false">IFERROR(__xludf.dummyfunction("""COMPUTED_VALUE"""),30)</f>
        <v>30</v>
      </c>
      <c r="H258" s="2" t="n">
        <f aca="false">IFERROR(__xludf.dummyfunction("""COMPUTED_VALUE"""),30)</f>
        <v>30</v>
      </c>
      <c r="I258" s="9" t="n">
        <f aca="false">IFERROR(__xludf.dummyfunction("""COMPUTED_VALUE"""),180000)</f>
        <v>180000</v>
      </c>
      <c r="J258" s="9" t="n">
        <f aca="false">IFERROR(__xludf.dummyfunction("""COMPUTED_VALUE"""),87)</f>
        <v>87</v>
      </c>
      <c r="K258" s="9" t="n">
        <f aca="false">IFERROR(__xludf.dummyfunction("""COMPUTED_VALUE"""),0)</f>
        <v>0</v>
      </c>
      <c r="L258" s="9" t="n">
        <f aca="false">IFERROR(__xludf.dummyfunction("""COMPUTED_VALUE"""),0)</f>
        <v>0</v>
      </c>
      <c r="M258" s="9"/>
    </row>
    <row r="259" customFormat="false" ht="15.75" hidden="false" customHeight="false" outlineLevel="0" collapsed="false">
      <c r="A259" s="2" t="str">
        <f aca="false">IFERROR(__xludf.dummyfunction("""COMPUTED_VALUE"""),"HFI/BCT/1461")</f>
        <v>HFI/BCT/1461</v>
      </c>
      <c r="B259" s="2" t="str">
        <f aca="false">IFERROR(__xludf.dummyfunction("""COMPUTED_VALUE"""),"Anushka Gaur")</f>
        <v>Anushka Gaur</v>
      </c>
      <c r="C259" s="2" t="str">
        <f aca="false">IFERROR(__xludf.dummyfunction("""COMPUTED_VALUE"""),"Social Media ")</f>
        <v>Social Media </v>
      </c>
      <c r="D259" s="2" t="str">
        <f aca="false">IFERROR(__xludf.dummyfunction("""COMPUTED_VALUE"""),"Mumbai")</f>
        <v>Mumbai</v>
      </c>
      <c r="E259" s="16" t="n">
        <f aca="false">IFERROR(__xludf.dummyfunction("""COMPUTED_VALUE"""),43899)</f>
        <v>43899</v>
      </c>
      <c r="F259" s="9" t="n">
        <f aca="false">IFERROR(__xludf.dummyfunction("""COMPUTED_VALUE"""),18000)</f>
        <v>18000</v>
      </c>
      <c r="G259" s="2" t="n">
        <f aca="false">IFERROR(__xludf.dummyfunction("""COMPUTED_VALUE"""),30)</f>
        <v>30</v>
      </c>
      <c r="H259" s="2" t="n">
        <f aca="false">IFERROR(__xludf.dummyfunction("""COMPUTED_VALUE"""),30)</f>
        <v>30</v>
      </c>
      <c r="I259" s="9" t="n">
        <f aca="false">IFERROR(__xludf.dummyfunction("""COMPUTED_VALUE"""),216000)</f>
        <v>216000</v>
      </c>
      <c r="J259" s="9" t="n">
        <f aca="false">IFERROR(__xludf.dummyfunction("""COMPUTED_VALUE"""),58)</f>
        <v>58</v>
      </c>
      <c r="K259" s="9" t="n">
        <f aca="false">IFERROR(__xludf.dummyfunction("""COMPUTED_VALUE"""),0)</f>
        <v>0</v>
      </c>
      <c r="L259" s="9" t="n">
        <f aca="false">IFERROR(__xludf.dummyfunction("""COMPUTED_VALUE"""),0)</f>
        <v>0</v>
      </c>
      <c r="M259" s="9"/>
    </row>
    <row r="260" customFormat="false" ht="15.75" hidden="false" customHeight="false" outlineLevel="0" collapsed="false">
      <c r="A260" s="2" t="str">
        <f aca="false">IFERROR(__xludf.dummyfunction("""COMPUTED_VALUE"""),"HET/KAN/1381")</f>
        <v>HET/KAN/1381</v>
      </c>
      <c r="B260" s="2" t="str">
        <f aca="false">IFERROR(__xludf.dummyfunction("""COMPUTED_VALUE"""),"Aaron Richards Adolf Walter")</f>
        <v>Aaron Richards Adolf Walter</v>
      </c>
      <c r="C260" s="2" t="str">
        <f aca="false">IFERROR(__xludf.dummyfunction("""COMPUTED_VALUE"""),"Media")</f>
        <v>Media</v>
      </c>
      <c r="D260" s="2" t="str">
        <f aca="false">IFERROR(__xludf.dummyfunction("""COMPUTED_VALUE"""),"Kanha")</f>
        <v>Kanha</v>
      </c>
      <c r="E260" s="16" t="n">
        <f aca="false">IFERROR(__xludf.dummyfunction("""COMPUTED_VALUE"""),43899)</f>
        <v>43899</v>
      </c>
      <c r="F260" s="9" t="n">
        <f aca="false">IFERROR(__xludf.dummyfunction("""COMPUTED_VALUE"""),15000)</f>
        <v>15000</v>
      </c>
      <c r="G260" s="2" t="n">
        <f aca="false">IFERROR(__xludf.dummyfunction("""COMPUTED_VALUE"""),30)</f>
        <v>30</v>
      </c>
      <c r="H260" s="2" t="n">
        <f aca="false">IFERROR(__xludf.dummyfunction("""COMPUTED_VALUE"""),30)</f>
        <v>30</v>
      </c>
      <c r="I260" s="9" t="n">
        <f aca="false">IFERROR(__xludf.dummyfunction("""COMPUTED_VALUE"""),180000)</f>
        <v>180000</v>
      </c>
      <c r="J260" s="9" t="n">
        <f aca="false">IFERROR(__xludf.dummyfunction("""COMPUTED_VALUE"""),116)</f>
        <v>116</v>
      </c>
      <c r="K260" s="9" t="n">
        <f aca="false">IFERROR(__xludf.dummyfunction("""COMPUTED_VALUE"""),0)</f>
        <v>0</v>
      </c>
      <c r="L260" s="9" t="n">
        <f aca="false">IFERROR(__xludf.dummyfunction("""COMPUTED_VALUE"""),0)</f>
        <v>0</v>
      </c>
      <c r="M260" s="9"/>
    </row>
    <row r="261" customFormat="false" ht="15.75" hidden="false" customHeight="false" outlineLevel="0" collapsed="false">
      <c r="A261" s="2" t="str">
        <f aca="false">IFERROR(__xludf.dummyfunction("""COMPUTED_VALUE"""),"HET/BL/1388")</f>
        <v>HET/BL/1388</v>
      </c>
      <c r="B261" s="2" t="str">
        <f aca="false">IFERROR(__xludf.dummyfunction("""COMPUTED_VALUE"""),"Hemaben Sanathkumar Bhatt ")</f>
        <v>Hemaben Sanathkumar Bhatt </v>
      </c>
      <c r="C261" s="2" t="str">
        <f aca="false">IFERROR(__xludf.dummyfunction("""COMPUTED_VALUE"""),"S Connect")</f>
        <v>S Connect</v>
      </c>
      <c r="D261" s="2" t="str">
        <f aca="false">IFERROR(__xludf.dummyfunction("""COMPUTED_VALUE"""),"Gujarat")</f>
        <v>Gujarat</v>
      </c>
      <c r="E261" s="16" t="n">
        <f aca="false">IFERROR(__xludf.dummyfunction("""COMPUTED_VALUE"""),43556)</f>
        <v>43556</v>
      </c>
      <c r="F261" s="9" t="n">
        <f aca="false">IFERROR(__xludf.dummyfunction("""COMPUTED_VALUE"""),21000)</f>
        <v>21000</v>
      </c>
      <c r="G261" s="2" t="n">
        <f aca="false">IFERROR(__xludf.dummyfunction("""COMPUTED_VALUE"""),30)</f>
        <v>30</v>
      </c>
      <c r="H261" s="2" t="n">
        <f aca="false">IFERROR(__xludf.dummyfunction("""COMPUTED_VALUE"""),30)</f>
        <v>30</v>
      </c>
      <c r="I261" s="9" t="n">
        <f aca="false">IFERROR(__xludf.dummyfunction("""COMPUTED_VALUE"""),252000)</f>
        <v>252000</v>
      </c>
      <c r="J261" s="9" t="n">
        <f aca="false">IFERROR(__xludf.dummyfunction("""COMPUTED_VALUE"""),275)</f>
        <v>275</v>
      </c>
      <c r="K261" s="9" t="n">
        <f aca="false">IFERROR(__xludf.dummyfunction("""COMPUTED_VALUE"""),0)</f>
        <v>0</v>
      </c>
      <c r="L261" s="9" t="n">
        <f aca="false">IFERROR(__xludf.dummyfunction("""COMPUTED_VALUE"""),0)</f>
        <v>0</v>
      </c>
      <c r="M261" s="9"/>
    </row>
    <row r="262" customFormat="false" ht="15.75" hidden="false" customHeight="false" outlineLevel="0" collapsed="false">
      <c r="A262" s="2" t="str">
        <f aca="false">IFERROR(__xludf.dummyfunction("""COMPUTED_VALUE"""),"HET/KAN/1432")</f>
        <v>HET/KAN/1432</v>
      </c>
      <c r="B262" s="2" t="str">
        <f aca="false">IFERROR(__xludf.dummyfunction("""COMPUTED_VALUE"""),"Vinay Chavda")</f>
        <v>Vinay Chavda</v>
      </c>
      <c r="C262" s="2" t="str">
        <f aca="false">IFERROR(__xludf.dummyfunction("""COMPUTED_VALUE"""),"S Connect")</f>
        <v>S Connect</v>
      </c>
      <c r="D262" s="2" t="str">
        <f aca="false">IFERROR(__xludf.dummyfunction("""COMPUTED_VALUE"""),"Gujarat")</f>
        <v>Gujarat</v>
      </c>
      <c r="E262" s="16" t="n">
        <f aca="false">IFERROR(__xludf.dummyfunction("""COMPUTED_VALUE"""),43672)</f>
        <v>43672</v>
      </c>
      <c r="F262" s="9" t="n">
        <f aca="false">IFERROR(__xludf.dummyfunction("""COMPUTED_VALUE"""),30000)</f>
        <v>30000</v>
      </c>
      <c r="G262" s="2" t="n">
        <f aca="false">IFERROR(__xludf.dummyfunction("""COMPUTED_VALUE"""),30)</f>
        <v>30</v>
      </c>
      <c r="H262" s="2" t="n">
        <f aca="false">IFERROR(__xludf.dummyfunction("""COMPUTED_VALUE"""),30)</f>
        <v>30</v>
      </c>
      <c r="I262" s="9" t="n">
        <f aca="false">IFERROR(__xludf.dummyfunction("""COMPUTED_VALUE"""),360000)</f>
        <v>360000</v>
      </c>
      <c r="J262" s="9" t="n">
        <f aca="false">IFERROR(__xludf.dummyfunction("""COMPUTED_VALUE"""),379)</f>
        <v>379</v>
      </c>
      <c r="K262" s="9" t="n">
        <f aca="false">IFERROR(__xludf.dummyfunction("""COMPUTED_VALUE"""),0)</f>
        <v>0</v>
      </c>
      <c r="L262" s="9" t="n">
        <f aca="false">IFERROR(__xludf.dummyfunction("""COMPUTED_VALUE"""),0)</f>
        <v>0</v>
      </c>
      <c r="M262" s="9"/>
    </row>
    <row r="263" customFormat="false" ht="15.75" hidden="false" customHeight="false" outlineLevel="0" collapsed="false">
      <c r="A263" s="2" t="str">
        <f aca="false">IFERROR(__xludf.dummyfunction("""COMPUTED_VALUE"""),"HFI/BL/1313")</f>
        <v>HFI/BL/1313</v>
      </c>
      <c r="B263" s="2" t="str">
        <f aca="false">IFERROR(__xludf.dummyfunction("""COMPUTED_VALUE"""),"Pagi Ganeshbhai Lahnubhai")</f>
        <v>Pagi Ganeshbhai Lahnubhai</v>
      </c>
      <c r="C263" s="2" t="str">
        <f aca="false">IFERROR(__xludf.dummyfunction("""COMPUTED_VALUE"""),"Coordinators")</f>
        <v>Coordinators</v>
      </c>
      <c r="D263" s="2" t="str">
        <f aca="false">IFERROR(__xludf.dummyfunction("""COMPUTED_VALUE"""),"Gujarat")</f>
        <v>Gujarat</v>
      </c>
      <c r="E263" s="16" t="n">
        <f aca="false">IFERROR(__xludf.dummyfunction("""COMPUTED_VALUE"""),43703)</f>
        <v>43703</v>
      </c>
      <c r="F263" s="9" t="n">
        <f aca="false">IFERROR(__xludf.dummyfunction("""COMPUTED_VALUE"""),12000)</f>
        <v>12000</v>
      </c>
      <c r="G263" s="2" t="n">
        <f aca="false">IFERROR(__xludf.dummyfunction("""COMPUTED_VALUE"""),30)</f>
        <v>30</v>
      </c>
      <c r="H263" s="2" t="n">
        <f aca="false">IFERROR(__xludf.dummyfunction("""COMPUTED_VALUE"""),30)</f>
        <v>30</v>
      </c>
      <c r="I263" s="9" t="n">
        <f aca="false">IFERROR(__xludf.dummyfunction("""COMPUTED_VALUE"""),144000)</f>
        <v>144000</v>
      </c>
      <c r="J263" s="9" t="n">
        <f aca="false">IFERROR(__xludf.dummyfunction("""COMPUTED_VALUE"""),175)</f>
        <v>175</v>
      </c>
      <c r="K263" s="9" t="n">
        <f aca="false">IFERROR(__xludf.dummyfunction("""COMPUTED_VALUE"""),0)</f>
        <v>0</v>
      </c>
      <c r="L263" s="9" t="n">
        <f aca="false">IFERROR(__xludf.dummyfunction("""COMPUTED_VALUE"""),0)</f>
        <v>0</v>
      </c>
      <c r="M263" s="9"/>
    </row>
    <row r="264" customFormat="false" ht="15.75" hidden="false" customHeight="false" outlineLevel="0" collapsed="false">
      <c r="A264" s="2" t="str">
        <f aca="false">IFERROR(__xludf.dummyfunction("""COMPUTED_VALUE"""),"HFI/KAN/1311")</f>
        <v>HFI/KAN/1311</v>
      </c>
      <c r="B264" s="2" t="str">
        <f aca="false">IFERROR(__xludf.dummyfunction("""COMPUTED_VALUE"""),"Thorat Dharmeshbhai")</f>
        <v>Thorat Dharmeshbhai</v>
      </c>
      <c r="C264" s="2" t="str">
        <f aca="false">IFERROR(__xludf.dummyfunction("""COMPUTED_VALUE"""),"Coordinators")</f>
        <v>Coordinators</v>
      </c>
      <c r="D264" s="2" t="str">
        <f aca="false">IFERROR(__xludf.dummyfunction("""COMPUTED_VALUE"""),"Gujarat")</f>
        <v>Gujarat</v>
      </c>
      <c r="E264" s="16" t="n">
        <f aca="false">IFERROR(__xludf.dummyfunction("""COMPUTED_VALUE"""),43703)</f>
        <v>43703</v>
      </c>
      <c r="F264" s="9" t="n">
        <f aca="false">IFERROR(__xludf.dummyfunction("""COMPUTED_VALUE"""),16000)</f>
        <v>16000</v>
      </c>
      <c r="G264" s="2" t="n">
        <f aca="false">IFERROR(__xludf.dummyfunction("""COMPUTED_VALUE"""),30)</f>
        <v>30</v>
      </c>
      <c r="H264" s="2" t="n">
        <f aca="false">IFERROR(__xludf.dummyfunction("""COMPUTED_VALUE"""),30)</f>
        <v>30</v>
      </c>
      <c r="I264" s="9" t="n">
        <f aca="false">IFERROR(__xludf.dummyfunction("""COMPUTED_VALUE"""),192000)</f>
        <v>192000</v>
      </c>
      <c r="J264" s="9" t="n">
        <f aca="false">IFERROR(__xludf.dummyfunction("""COMPUTED_VALUE"""),175)</f>
        <v>175</v>
      </c>
      <c r="K264" s="9" t="n">
        <f aca="false">IFERROR(__xludf.dummyfunction("""COMPUTED_VALUE"""),0)</f>
        <v>0</v>
      </c>
      <c r="L264" s="9" t="n">
        <f aca="false">IFERROR(__xludf.dummyfunction("""COMPUTED_VALUE"""),0)</f>
        <v>0</v>
      </c>
      <c r="M264" s="9"/>
    </row>
    <row r="265" customFormat="false" ht="15.75" hidden="false" customHeight="false" outlineLevel="0" collapsed="false">
      <c r="A265" s="2" t="str">
        <f aca="false">IFERROR(__xludf.dummyfunction("""COMPUTED_VALUE"""),"HFI/BL/1318")</f>
        <v>HFI/BL/1318</v>
      </c>
      <c r="B265" s="2" t="str">
        <f aca="false">IFERROR(__xludf.dummyfunction("""COMPUTED_VALUE"""),"Raut Sureshbhai Bablubhai")</f>
        <v>Raut Sureshbhai Bablubhai</v>
      </c>
      <c r="C265" s="2" t="str">
        <f aca="false">IFERROR(__xludf.dummyfunction("""COMPUTED_VALUE"""),"Coordinators")</f>
        <v>Coordinators</v>
      </c>
      <c r="D265" s="2" t="str">
        <f aca="false">IFERROR(__xludf.dummyfunction("""COMPUTED_VALUE"""),"Gujarat")</f>
        <v>Gujarat</v>
      </c>
      <c r="E265" s="16" t="n">
        <f aca="false">IFERROR(__xludf.dummyfunction("""COMPUTED_VALUE"""),43703)</f>
        <v>43703</v>
      </c>
      <c r="F265" s="9" t="n">
        <f aca="false">IFERROR(__xludf.dummyfunction("""COMPUTED_VALUE"""),16000)</f>
        <v>16000</v>
      </c>
      <c r="G265" s="2" t="n">
        <f aca="false">IFERROR(__xludf.dummyfunction("""COMPUTED_VALUE"""),30)</f>
        <v>30</v>
      </c>
      <c r="H265" s="2" t="n">
        <f aca="false">IFERROR(__xludf.dummyfunction("""COMPUTED_VALUE"""),30)</f>
        <v>30</v>
      </c>
      <c r="I265" s="9" t="n">
        <f aca="false">IFERROR(__xludf.dummyfunction("""COMPUTED_VALUE"""),192000)</f>
        <v>192000</v>
      </c>
      <c r="J265" s="9" t="n">
        <f aca="false">IFERROR(__xludf.dummyfunction("""COMPUTED_VALUE"""),88)</f>
        <v>88</v>
      </c>
      <c r="K265" s="9" t="n">
        <f aca="false">IFERROR(__xludf.dummyfunction("""COMPUTED_VALUE"""),0)</f>
        <v>0</v>
      </c>
      <c r="L265" s="9" t="n">
        <f aca="false">IFERROR(__xludf.dummyfunction("""COMPUTED_VALUE"""),0)</f>
        <v>0</v>
      </c>
      <c r="M265" s="9"/>
    </row>
    <row r="266" customFormat="false" ht="15.75" hidden="false" customHeight="false" outlineLevel="0" collapsed="false">
      <c r="A266" s="2" t="str">
        <f aca="false">IFERROR(__xludf.dummyfunction("""COMPUTED_VALUE"""),"HFI/BL/1315")</f>
        <v>HFI/BL/1315</v>
      </c>
      <c r="B266" s="2" t="str">
        <f aca="false">IFERROR(__xludf.dummyfunction("""COMPUTED_VALUE"""),"Thakor Keyurkumar Bharatsinh")</f>
        <v>Thakor Keyurkumar Bharatsinh</v>
      </c>
      <c r="C266" s="2" t="str">
        <f aca="false">IFERROR(__xludf.dummyfunction("""COMPUTED_VALUE"""),"Coordinators")</f>
        <v>Coordinators</v>
      </c>
      <c r="D266" s="2" t="str">
        <f aca="false">IFERROR(__xludf.dummyfunction("""COMPUTED_VALUE"""),"Gujarat")</f>
        <v>Gujarat</v>
      </c>
      <c r="E266" s="16" t="n">
        <f aca="false">IFERROR(__xludf.dummyfunction("""COMPUTED_VALUE"""),43703)</f>
        <v>43703</v>
      </c>
      <c r="F266" s="9" t="n">
        <f aca="false">IFERROR(__xludf.dummyfunction("""COMPUTED_VALUE"""),12000)</f>
        <v>12000</v>
      </c>
      <c r="G266" s="2" t="n">
        <f aca="false">IFERROR(__xludf.dummyfunction("""COMPUTED_VALUE"""),30)</f>
        <v>30</v>
      </c>
      <c r="H266" s="2" t="n">
        <f aca="false">IFERROR(__xludf.dummyfunction("""COMPUTED_VALUE"""),30)</f>
        <v>30</v>
      </c>
      <c r="I266" s="9" t="n">
        <f aca="false">IFERROR(__xludf.dummyfunction("""COMPUTED_VALUE"""),144000)</f>
        <v>144000</v>
      </c>
      <c r="J266" s="9" t="n">
        <f aca="false">IFERROR(__xludf.dummyfunction("""COMPUTED_VALUE"""),88)</f>
        <v>88</v>
      </c>
      <c r="K266" s="9" t="n">
        <f aca="false">IFERROR(__xludf.dummyfunction("""COMPUTED_VALUE"""),0)</f>
        <v>0</v>
      </c>
      <c r="L266" s="9" t="n">
        <f aca="false">IFERROR(__xludf.dummyfunction("""COMPUTED_VALUE"""),0)</f>
        <v>0</v>
      </c>
      <c r="M266" s="9"/>
    </row>
    <row r="267" customFormat="false" ht="15.75" hidden="false" customHeight="false" outlineLevel="0" collapsed="false">
      <c r="A267" s="2" t="str">
        <f aca="false">IFERROR(__xludf.dummyfunction("""COMPUTED_VALUE"""),"HFI/BL/1314")</f>
        <v>HFI/BL/1314</v>
      </c>
      <c r="B267" s="2" t="str">
        <f aca="false">IFERROR(__xludf.dummyfunction("""COMPUTED_VALUE"""),"Ganvit Kamlaben Arjunbhai")</f>
        <v>Ganvit Kamlaben Arjunbhai</v>
      </c>
      <c r="C267" s="2" t="str">
        <f aca="false">IFERROR(__xludf.dummyfunction("""COMPUTED_VALUE"""),"Coordinators")</f>
        <v>Coordinators</v>
      </c>
      <c r="D267" s="2" t="str">
        <f aca="false">IFERROR(__xludf.dummyfunction("""COMPUTED_VALUE"""),"Gujarat")</f>
        <v>Gujarat</v>
      </c>
      <c r="E267" s="16" t="n">
        <f aca="false">IFERROR(__xludf.dummyfunction("""COMPUTED_VALUE"""),43703)</f>
        <v>43703</v>
      </c>
      <c r="F267" s="9" t="n">
        <f aca="false">IFERROR(__xludf.dummyfunction("""COMPUTED_VALUE"""),12000)</f>
        <v>12000</v>
      </c>
      <c r="G267" s="2" t="n">
        <f aca="false">IFERROR(__xludf.dummyfunction("""COMPUTED_VALUE"""),30)</f>
        <v>30</v>
      </c>
      <c r="H267" s="2" t="n">
        <f aca="false">IFERROR(__xludf.dummyfunction("""COMPUTED_VALUE"""),30)</f>
        <v>30</v>
      </c>
      <c r="I267" s="9" t="n">
        <f aca="false">IFERROR(__xludf.dummyfunction("""COMPUTED_VALUE"""),144000)</f>
        <v>144000</v>
      </c>
      <c r="J267" s="9" t="n">
        <f aca="false">IFERROR(__xludf.dummyfunction("""COMPUTED_VALUE"""),88)</f>
        <v>88</v>
      </c>
      <c r="K267" s="9" t="n">
        <f aca="false">IFERROR(__xludf.dummyfunction("""COMPUTED_VALUE"""),0)</f>
        <v>0</v>
      </c>
      <c r="L267" s="9" t="n">
        <f aca="false">IFERROR(__xludf.dummyfunction("""COMPUTED_VALUE"""),0)</f>
        <v>0</v>
      </c>
      <c r="M267" s="9"/>
    </row>
    <row r="268" customFormat="false" ht="15.75" hidden="false" customHeight="false" outlineLevel="0" collapsed="false">
      <c r="A268" s="2" t="str">
        <f aca="false">IFERROR(__xludf.dummyfunction("""COMPUTED_VALUE"""),"HFI/BL/1312")</f>
        <v>HFI/BL/1312</v>
      </c>
      <c r="B268" s="2" t="str">
        <f aca="false">IFERROR(__xludf.dummyfunction("""COMPUTED_VALUE"""),"Patel Dimplebahen Mangubhai")</f>
        <v>Patel Dimplebahen Mangubhai</v>
      </c>
      <c r="C268" s="2" t="str">
        <f aca="false">IFERROR(__xludf.dummyfunction("""COMPUTED_VALUE"""),"Coordinators")</f>
        <v>Coordinators</v>
      </c>
      <c r="D268" s="2" t="str">
        <f aca="false">IFERROR(__xludf.dummyfunction("""COMPUTED_VALUE"""),"Gujarat")</f>
        <v>Gujarat</v>
      </c>
      <c r="E268" s="16" t="n">
        <f aca="false">IFERROR(__xludf.dummyfunction("""COMPUTED_VALUE"""),43703)</f>
        <v>43703</v>
      </c>
      <c r="F268" s="9" t="n">
        <f aca="false">IFERROR(__xludf.dummyfunction("""COMPUTED_VALUE"""),12000)</f>
        <v>12000</v>
      </c>
      <c r="G268" s="2" t="n">
        <f aca="false">IFERROR(__xludf.dummyfunction("""COMPUTED_VALUE"""),30)</f>
        <v>30</v>
      </c>
      <c r="H268" s="2" t="n">
        <f aca="false">IFERROR(__xludf.dummyfunction("""COMPUTED_VALUE"""),30)</f>
        <v>30</v>
      </c>
      <c r="I268" s="9" t="n">
        <f aca="false">IFERROR(__xludf.dummyfunction("""COMPUTED_VALUE"""),144000)</f>
        <v>144000</v>
      </c>
      <c r="J268" s="9" t="n">
        <f aca="false">IFERROR(__xludf.dummyfunction("""COMPUTED_VALUE"""),88)</f>
        <v>88</v>
      </c>
      <c r="K268" s="9" t="n">
        <f aca="false">IFERROR(__xludf.dummyfunction("""COMPUTED_VALUE"""),0)</f>
        <v>0</v>
      </c>
      <c r="L268" s="9" t="n">
        <f aca="false">IFERROR(__xludf.dummyfunction("""COMPUTED_VALUE"""),0)</f>
        <v>0</v>
      </c>
      <c r="M268" s="9"/>
    </row>
    <row r="269" customFormat="false" ht="15.75" hidden="false" customHeight="false" outlineLevel="0" collapsed="false">
      <c r="A269" s="2" t="str">
        <f aca="false">IFERROR(__xludf.dummyfunction("""COMPUTED_VALUE"""),"HFI/BL/1316")</f>
        <v>HFI/BL/1316</v>
      </c>
      <c r="B269" s="2" t="str">
        <f aca="false">IFERROR(__xludf.dummyfunction("""COMPUTED_VALUE"""),"Rasila Dana Bhai Vaghela")</f>
        <v>Rasila Dana Bhai Vaghela</v>
      </c>
      <c r="C269" s="2" t="str">
        <f aca="false">IFERROR(__xludf.dummyfunction("""COMPUTED_VALUE"""),"HFN Service Team")</f>
        <v>HFN Service Team</v>
      </c>
      <c r="D269" s="2" t="str">
        <f aca="false">IFERROR(__xludf.dummyfunction("""COMPUTED_VALUE"""),"Gujarat")</f>
        <v>Gujarat</v>
      </c>
      <c r="E269" s="16" t="n">
        <f aca="false">IFERROR(__xludf.dummyfunction("""COMPUTED_VALUE"""),43749)</f>
        <v>43749</v>
      </c>
      <c r="F269" s="9" t="n">
        <f aca="false">IFERROR(__xludf.dummyfunction("""COMPUTED_VALUE"""),25000)</f>
        <v>25000</v>
      </c>
      <c r="G269" s="2" t="n">
        <f aca="false">IFERROR(__xludf.dummyfunction("""COMPUTED_VALUE"""),30)</f>
        <v>30</v>
      </c>
      <c r="H269" s="2" t="n">
        <f aca="false">IFERROR(__xludf.dummyfunction("""COMPUTED_VALUE"""),30)</f>
        <v>30</v>
      </c>
      <c r="I269" s="9" t="n">
        <f aca="false">IFERROR(__xludf.dummyfunction("""COMPUTED_VALUE"""),300000)</f>
        <v>300000</v>
      </c>
      <c r="J269" s="9" t="n">
        <f aca="false">IFERROR(__xludf.dummyfunction("""COMPUTED_VALUE"""),129)</f>
        <v>129</v>
      </c>
      <c r="K269" s="9" t="n">
        <f aca="false">IFERROR(__xludf.dummyfunction("""COMPUTED_VALUE"""),0)</f>
        <v>0</v>
      </c>
      <c r="L269" s="9" t="n">
        <f aca="false">IFERROR(__xludf.dummyfunction("""COMPUTED_VALUE"""),0)</f>
        <v>0</v>
      </c>
      <c r="M269" s="9"/>
    </row>
    <row r="270" customFormat="false" ht="15.75" hidden="false" customHeight="false" outlineLevel="0" collapsed="false">
      <c r="A270" s="2" t="str">
        <f aca="false">IFERROR(__xludf.dummyfunction("""COMPUTED_VALUE"""),"HFI/KAN/1238")</f>
        <v>HFI/KAN/1238</v>
      </c>
      <c r="B270" s="2" t="str">
        <f aca="false">IFERROR(__xludf.dummyfunction("""COMPUTED_VALUE"""),"Jayshree Anil Bhatt")</f>
        <v>Jayshree Anil Bhatt</v>
      </c>
      <c r="C270" s="2" t="str">
        <f aca="false">IFERROR(__xludf.dummyfunction("""COMPUTED_VALUE"""),"HFN Service Team")</f>
        <v>HFN Service Team</v>
      </c>
      <c r="D270" s="2" t="str">
        <f aca="false">IFERROR(__xludf.dummyfunction("""COMPUTED_VALUE"""),"Gujarat")</f>
        <v>Gujarat</v>
      </c>
      <c r="E270" s="16" t="n">
        <f aca="false">IFERROR(__xludf.dummyfunction("""COMPUTED_VALUE"""),43749)</f>
        <v>43749</v>
      </c>
      <c r="F270" s="9" t="n">
        <f aca="false">IFERROR(__xludf.dummyfunction("""COMPUTED_VALUE"""),25000)</f>
        <v>25000</v>
      </c>
      <c r="G270" s="2" t="n">
        <f aca="false">IFERROR(__xludf.dummyfunction("""COMPUTED_VALUE"""),30)</f>
        <v>30</v>
      </c>
      <c r="H270" s="2" t="n">
        <f aca="false">IFERROR(__xludf.dummyfunction("""COMPUTED_VALUE"""),30)</f>
        <v>30</v>
      </c>
      <c r="I270" s="9" t="n">
        <f aca="false">IFERROR(__xludf.dummyfunction("""COMPUTED_VALUE"""),300000)</f>
        <v>300000</v>
      </c>
      <c r="J270" s="9" t="n">
        <f aca="false">IFERROR(__xludf.dummyfunction("""COMPUTED_VALUE"""),0)</f>
        <v>0</v>
      </c>
      <c r="K270" s="9" t="n">
        <f aca="false">IFERROR(__xludf.dummyfunction("""COMPUTED_VALUE"""),0)</f>
        <v>0</v>
      </c>
      <c r="L270" s="9" t="n">
        <f aca="false">IFERROR(__xludf.dummyfunction("""COMPUTED_VALUE"""),0)</f>
        <v>0</v>
      </c>
      <c r="M270" s="9"/>
    </row>
    <row r="271" customFormat="false" ht="15.75" hidden="false" customHeight="false" outlineLevel="0" collapsed="false">
      <c r="A271" s="2" t="str">
        <f aca="false">IFERROR(__xludf.dummyfunction("""COMPUTED_VALUE"""),"HFI/KAN/1237")</f>
        <v>HFI/KAN/1237</v>
      </c>
      <c r="B271" s="2" t="str">
        <f aca="false">IFERROR(__xludf.dummyfunction("""COMPUTED_VALUE"""),"Ami Singhania")</f>
        <v>Ami Singhania</v>
      </c>
      <c r="C271" s="2" t="str">
        <f aca="false">IFERROR(__xludf.dummyfunction("""COMPUTED_VALUE"""),"HFN Service Team")</f>
        <v>HFN Service Team</v>
      </c>
      <c r="D271" s="2" t="str">
        <f aca="false">IFERROR(__xludf.dummyfunction("""COMPUTED_VALUE"""),"Gujarat")</f>
        <v>Gujarat</v>
      </c>
      <c r="E271" s="16" t="n">
        <f aca="false">IFERROR(__xludf.dummyfunction("""COMPUTED_VALUE"""),43749)</f>
        <v>43749</v>
      </c>
      <c r="F271" s="9" t="n">
        <f aca="false">IFERROR(__xludf.dummyfunction("""COMPUTED_VALUE"""),25000)</f>
        <v>25000</v>
      </c>
      <c r="G271" s="2" t="n">
        <f aca="false">IFERROR(__xludf.dummyfunction("""COMPUTED_VALUE"""),30)</f>
        <v>30</v>
      </c>
      <c r="H271" s="2" t="n">
        <f aca="false">IFERROR(__xludf.dummyfunction("""COMPUTED_VALUE"""),30)</f>
        <v>30</v>
      </c>
      <c r="I271" s="9" t="n">
        <f aca="false">IFERROR(__xludf.dummyfunction("""COMPUTED_VALUE"""),300000)</f>
        <v>300000</v>
      </c>
      <c r="J271" s="9" t="n">
        <f aca="false">IFERROR(__xludf.dummyfunction("""COMPUTED_VALUE"""),737)</f>
        <v>737</v>
      </c>
      <c r="K271" s="9" t="n">
        <f aca="false">IFERROR(__xludf.dummyfunction("""COMPUTED_VALUE"""),0)</f>
        <v>0</v>
      </c>
      <c r="L271" s="9" t="n">
        <f aca="false">IFERROR(__xludf.dummyfunction("""COMPUTED_VALUE"""),0)</f>
        <v>0</v>
      </c>
      <c r="M271" s="9"/>
    </row>
    <row r="272" customFormat="false" ht="15.75" hidden="false" customHeight="false" outlineLevel="0" collapsed="false">
      <c r="A272" s="2" t="str">
        <f aca="false">IFERROR(__xludf.dummyfunction("""COMPUTED_VALUE"""),"HET/BL/1435")</f>
        <v>HET/BL/1435</v>
      </c>
      <c r="B272" s="2" t="str">
        <f aca="false">IFERROR(__xludf.dummyfunction("""COMPUTED_VALUE"""),"Bhatiya Harshaben Saileshkumar")</f>
        <v>Bhatiya Harshaben Saileshkumar</v>
      </c>
      <c r="C272" s="2" t="str">
        <f aca="false">IFERROR(__xludf.dummyfunction("""COMPUTED_VALUE"""),"S Connect")</f>
        <v>S Connect</v>
      </c>
      <c r="D272" s="2" t="str">
        <f aca="false">IFERROR(__xludf.dummyfunction("""COMPUTED_VALUE"""),"Gujarat")</f>
        <v>Gujarat</v>
      </c>
      <c r="E272" s="16" t="n">
        <f aca="false">IFERROR(__xludf.dummyfunction("""COMPUTED_VALUE"""),43837)</f>
        <v>43837</v>
      </c>
      <c r="F272" s="9" t="n">
        <f aca="false">IFERROR(__xludf.dummyfunction("""COMPUTED_VALUE"""),20000)</f>
        <v>20000</v>
      </c>
      <c r="G272" s="2" t="n">
        <f aca="false">IFERROR(__xludf.dummyfunction("""COMPUTED_VALUE"""),30)</f>
        <v>30</v>
      </c>
      <c r="H272" s="2" t="n">
        <f aca="false">IFERROR(__xludf.dummyfunction("""COMPUTED_VALUE"""),30)</f>
        <v>30</v>
      </c>
      <c r="I272" s="9" t="n">
        <f aca="false">IFERROR(__xludf.dummyfunction("""COMPUTED_VALUE"""),240000)</f>
        <v>240000</v>
      </c>
      <c r="J272" s="9" t="n">
        <f aca="false">IFERROR(__xludf.dummyfunction("""COMPUTED_VALUE"""),225)</f>
        <v>225</v>
      </c>
      <c r="K272" s="9" t="n">
        <f aca="false">IFERROR(__xludf.dummyfunction("""COMPUTED_VALUE"""),0)</f>
        <v>0</v>
      </c>
      <c r="L272" s="9" t="n">
        <f aca="false">IFERROR(__xludf.dummyfunction("""COMPUTED_VALUE"""),0)</f>
        <v>0</v>
      </c>
      <c r="M272" s="9"/>
    </row>
    <row r="273" customFormat="false" ht="15.75" hidden="false" customHeight="false" outlineLevel="0" collapsed="false">
      <c r="A273" s="2" t="str">
        <f aca="false">IFERROR(__xludf.dummyfunction("""COMPUTED_VALUE"""),"HET/KAN/1436")</f>
        <v>HET/KAN/1436</v>
      </c>
      <c r="B273" s="2" t="str">
        <f aca="false">IFERROR(__xludf.dummyfunction("""COMPUTED_VALUE"""),"Sadhnaben Jiteshkumar Vaghvare")</f>
        <v>Sadhnaben Jiteshkumar Vaghvare</v>
      </c>
      <c r="C273" s="2" t="str">
        <f aca="false">IFERROR(__xludf.dummyfunction("""COMPUTED_VALUE"""),"S Connect")</f>
        <v>S Connect</v>
      </c>
      <c r="D273" s="2" t="str">
        <f aca="false">IFERROR(__xludf.dummyfunction("""COMPUTED_VALUE"""),"Gujarat")</f>
        <v>Gujarat</v>
      </c>
      <c r="E273" s="16" t="n">
        <f aca="false">IFERROR(__xludf.dummyfunction("""COMPUTED_VALUE"""),43837)</f>
        <v>43837</v>
      </c>
      <c r="F273" s="9" t="n">
        <f aca="false">IFERROR(__xludf.dummyfunction("""COMPUTED_VALUE"""),20000)</f>
        <v>20000</v>
      </c>
      <c r="G273" s="2" t="n">
        <f aca="false">IFERROR(__xludf.dummyfunction("""COMPUTED_VALUE"""),30)</f>
        <v>30</v>
      </c>
      <c r="H273" s="2" t="n">
        <f aca="false">IFERROR(__xludf.dummyfunction("""COMPUTED_VALUE"""),30)</f>
        <v>30</v>
      </c>
      <c r="I273" s="9" t="n">
        <f aca="false">IFERROR(__xludf.dummyfunction("""COMPUTED_VALUE"""),240000)</f>
        <v>240000</v>
      </c>
      <c r="J273" s="9" t="n">
        <f aca="false">IFERROR(__xludf.dummyfunction("""COMPUTED_VALUE"""),225)</f>
        <v>225</v>
      </c>
      <c r="K273" s="9" t="n">
        <f aca="false">IFERROR(__xludf.dummyfunction("""COMPUTED_VALUE"""),0)</f>
        <v>0</v>
      </c>
      <c r="L273" s="9" t="n">
        <f aca="false">IFERROR(__xludf.dummyfunction("""COMPUTED_VALUE"""),0)</f>
        <v>0</v>
      </c>
      <c r="M273" s="9"/>
    </row>
    <row r="274" customFormat="false" ht="15.75" hidden="false" customHeight="false" outlineLevel="0" collapsed="false">
      <c r="A274" s="2" t="str">
        <f aca="false">IFERROR(__xludf.dummyfunction("""COMPUTED_VALUE"""),"HET/KAN/1438")</f>
        <v>HET/KAN/1438</v>
      </c>
      <c r="B274" s="2" t="str">
        <f aca="false">IFERROR(__xludf.dummyfunction("""COMPUTED_VALUE"""),"Hingarajiya Shilpaben Parbatbhai")</f>
        <v>Hingarajiya Shilpaben Parbatbhai</v>
      </c>
      <c r="C274" s="2" t="str">
        <f aca="false">IFERROR(__xludf.dummyfunction("""COMPUTED_VALUE"""),"S Connect")</f>
        <v>S Connect</v>
      </c>
      <c r="D274" s="2" t="str">
        <f aca="false">IFERROR(__xludf.dummyfunction("""COMPUTED_VALUE"""),"Gujarat")</f>
        <v>Gujarat</v>
      </c>
      <c r="E274" s="16" t="n">
        <f aca="false">IFERROR(__xludf.dummyfunction("""COMPUTED_VALUE"""),43837)</f>
        <v>43837</v>
      </c>
      <c r="F274" s="9" t="n">
        <f aca="false">IFERROR(__xludf.dummyfunction("""COMPUTED_VALUE"""),20000)</f>
        <v>20000</v>
      </c>
      <c r="G274" s="2" t="n">
        <f aca="false">IFERROR(__xludf.dummyfunction("""COMPUTED_VALUE"""),30)</f>
        <v>30</v>
      </c>
      <c r="H274" s="2" t="n">
        <f aca="false">IFERROR(__xludf.dummyfunction("""COMPUTED_VALUE"""),30)</f>
        <v>30</v>
      </c>
      <c r="I274" s="9" t="n">
        <f aca="false">IFERROR(__xludf.dummyfunction("""COMPUTED_VALUE"""),240000)</f>
        <v>240000</v>
      </c>
      <c r="J274" s="9" t="n">
        <f aca="false">IFERROR(__xludf.dummyfunction("""COMPUTED_VALUE"""),106)</f>
        <v>106</v>
      </c>
      <c r="K274" s="9" t="n">
        <f aca="false">IFERROR(__xludf.dummyfunction("""COMPUTED_VALUE"""),0)</f>
        <v>0</v>
      </c>
      <c r="L274" s="9" t="n">
        <f aca="false">IFERROR(__xludf.dummyfunction("""COMPUTED_VALUE"""),0)</f>
        <v>0</v>
      </c>
      <c r="M274" s="9"/>
    </row>
    <row r="275" customFormat="false" ht="15.75" hidden="false" customHeight="false" outlineLevel="0" collapsed="false">
      <c r="A275" s="2" t="str">
        <f aca="false">IFERROR(__xludf.dummyfunction("""COMPUTED_VALUE"""),"SMSF/KAN/0725")</f>
        <v>SMSF/KAN/0725</v>
      </c>
      <c r="B275" s="2" t="str">
        <f aca="false">IFERROR(__xludf.dummyfunction("""COMPUTED_VALUE"""),"Mohana R")</f>
        <v>Mohana R</v>
      </c>
      <c r="C275" s="2" t="str">
        <f aca="false">IFERROR(__xludf.dummyfunction("""COMPUTED_VALUE"""),"Accounts")</f>
        <v>Accounts</v>
      </c>
      <c r="D275" s="2" t="str">
        <f aca="false">IFERROR(__xludf.dummyfunction("""COMPUTED_VALUE"""),"Kanha")</f>
        <v>Kanha</v>
      </c>
      <c r="E275" s="16" t="n">
        <f aca="false">IFERROR(__xludf.dummyfunction("""COMPUTED_VALUE"""),43192)</f>
        <v>43192</v>
      </c>
      <c r="F275" s="9" t="n">
        <f aca="false">IFERROR(__xludf.dummyfunction("""COMPUTED_VALUE"""),12500)</f>
        <v>12500</v>
      </c>
      <c r="G275" s="2" t="n">
        <f aca="false">IFERROR(__xludf.dummyfunction("""COMPUTED_VALUE"""),30)</f>
        <v>30</v>
      </c>
      <c r="H275" s="2" t="n">
        <f aca="false">IFERROR(__xludf.dummyfunction("""COMPUTED_VALUE"""),30)</f>
        <v>30</v>
      </c>
      <c r="I275" s="9" t="n">
        <f aca="false">IFERROR(__xludf.dummyfunction("""COMPUTED_VALUE"""),150000)</f>
        <v>150000</v>
      </c>
      <c r="J275" s="9" t="n">
        <f aca="false">IFERROR(__xludf.dummyfunction("""COMPUTED_VALUE"""),61)</f>
        <v>61</v>
      </c>
      <c r="K275" s="9" t="n">
        <f aca="false">IFERROR(__xludf.dummyfunction("""COMPUTED_VALUE"""),0)</f>
        <v>0</v>
      </c>
      <c r="L275" s="9" t="n">
        <f aca="false">IFERROR(__xludf.dummyfunction("""COMPUTED_VALUE"""),0)</f>
        <v>0</v>
      </c>
      <c r="M275" s="9"/>
    </row>
    <row r="276" customFormat="false" ht="15.75" hidden="false" customHeight="false" outlineLevel="0" collapsed="false">
      <c r="A276" s="2" t="str">
        <f aca="false">IFERROR(__xludf.dummyfunction("""COMPUTED_VALUE"""),"HFI/KAN/1488")</f>
        <v>HFI/KAN/1488</v>
      </c>
      <c r="B276" s="2" t="str">
        <f aca="false">IFERROR(__xludf.dummyfunction("""COMPUTED_VALUE"""),"Sandeep Soni")</f>
        <v>Sandeep Soni</v>
      </c>
      <c r="C276" s="2" t="str">
        <f aca="false">IFERROR(__xludf.dummyfunction("""COMPUTED_VALUE"""),"IT Software")</f>
        <v>IT Software</v>
      </c>
      <c r="D276" s="2" t="str">
        <f aca="false">IFERROR(__xludf.dummyfunction("""COMPUTED_VALUE"""),"Kanha")</f>
        <v>Kanha</v>
      </c>
      <c r="E276" s="16" t="n">
        <f aca="false">IFERROR(__xludf.dummyfunction("""COMPUTED_VALUE"""),43955)</f>
        <v>43955</v>
      </c>
      <c r="F276" s="9" t="n">
        <f aca="false">IFERROR(__xludf.dummyfunction("""COMPUTED_VALUE"""),20000)</f>
        <v>20000</v>
      </c>
      <c r="G276" s="2" t="n">
        <f aca="false">IFERROR(__xludf.dummyfunction("""COMPUTED_VALUE"""),30)</f>
        <v>30</v>
      </c>
      <c r="H276" s="2" t="n">
        <f aca="false">IFERROR(__xludf.dummyfunction("""COMPUTED_VALUE"""),30)</f>
        <v>30</v>
      </c>
      <c r="I276" s="9" t="n">
        <f aca="false">IFERROR(__xludf.dummyfunction("""COMPUTED_VALUE"""),240000)</f>
        <v>240000</v>
      </c>
      <c r="J276" s="9" t="n">
        <f aca="false">IFERROR(__xludf.dummyfunction("""COMPUTED_VALUE"""),0)</f>
        <v>0</v>
      </c>
      <c r="K276" s="9" t="n">
        <f aca="false">IFERROR(__xludf.dummyfunction("""COMPUTED_VALUE"""),0)</f>
        <v>0</v>
      </c>
      <c r="L276" s="9" t="n">
        <f aca="false">IFERROR(__xludf.dummyfunction("""COMPUTED_VALUE"""),0)</f>
        <v>0</v>
      </c>
      <c r="M276" s="9"/>
    </row>
    <row r="277" customFormat="false" ht="15.75" hidden="false" customHeight="false" outlineLevel="0" collapsed="false">
      <c r="A277" s="2" t="str">
        <f aca="false">IFERROR(__xludf.dummyfunction("""COMPUTED_VALUE"""),"HFI/BCT/1422")</f>
        <v>HFI/BCT/1422</v>
      </c>
      <c r="B277" s="2" t="str">
        <f aca="false">IFERROR(__xludf.dummyfunction("""COMPUTED_VALUE"""),"Abirami J")</f>
        <v>Abirami J</v>
      </c>
      <c r="C277" s="2" t="str">
        <f aca="false">IFERROR(__xludf.dummyfunction("""COMPUTED_VALUE"""),"CME")</f>
        <v>CME</v>
      </c>
      <c r="D277" s="2" t="str">
        <f aca="false">IFERROR(__xludf.dummyfunction("""COMPUTED_VALUE"""),"Mumbai")</f>
        <v>Mumbai</v>
      </c>
      <c r="E277" s="16" t="n">
        <f aca="false">IFERROR(__xludf.dummyfunction("""COMPUTED_VALUE"""),44019)</f>
        <v>44019</v>
      </c>
      <c r="F277" s="9" t="n">
        <f aca="false">IFERROR(__xludf.dummyfunction("""COMPUTED_VALUE"""),20000)</f>
        <v>20000</v>
      </c>
      <c r="G277" s="2" t="n">
        <f aca="false">IFERROR(__xludf.dummyfunction("""COMPUTED_VALUE"""),30)</f>
        <v>30</v>
      </c>
      <c r="H277" s="2" t="n">
        <f aca="false">IFERROR(__xludf.dummyfunction("""COMPUTED_VALUE"""),30)</f>
        <v>30</v>
      </c>
      <c r="I277" s="9" t="n">
        <f aca="false">IFERROR(__xludf.dummyfunction("""COMPUTED_VALUE"""),240000)</f>
        <v>240000</v>
      </c>
      <c r="J277" s="9" t="n">
        <f aca="false">IFERROR(__xludf.dummyfunction("""COMPUTED_VALUE"""),113)</f>
        <v>113</v>
      </c>
      <c r="K277" s="9" t="n">
        <f aca="false">IFERROR(__xludf.dummyfunction("""COMPUTED_VALUE"""),0)</f>
        <v>0</v>
      </c>
      <c r="L277" s="9" t="n">
        <f aca="false">IFERROR(__xludf.dummyfunction("""COMPUTED_VALUE"""),0)</f>
        <v>0</v>
      </c>
      <c r="M277" s="9"/>
    </row>
    <row r="278" customFormat="false" ht="15.75" hidden="false" customHeight="false" outlineLevel="0" collapsed="false">
      <c r="A278" s="2" t="str">
        <f aca="false">IFERROR(__xludf.dummyfunction("""COMPUTED_VALUE"""),"SHPT/BMA/0071")</f>
        <v>SHPT/BMA/0071</v>
      </c>
      <c r="B278" s="2" t="str">
        <f aca="false">IFERROR(__xludf.dummyfunction("""COMPUTED_VALUE"""),"B.Rajeswari")</f>
        <v>B.Rajeswari</v>
      </c>
      <c r="C278" s="2" t="str">
        <f aca="false">IFERROR(__xludf.dummyfunction("""COMPUTED_VALUE"""),"Accounts")</f>
        <v>Accounts</v>
      </c>
      <c r="D278" s="2" t="str">
        <f aca="false">IFERROR(__xludf.dummyfunction("""COMPUTED_VALUE"""),"Chennai")</f>
        <v>Chennai</v>
      </c>
      <c r="E278" s="16" t="n">
        <f aca="false">IFERROR(__xludf.dummyfunction("""COMPUTED_VALUE"""),40037)</f>
        <v>40037</v>
      </c>
      <c r="F278" s="9" t="n">
        <f aca="false">IFERROR(__xludf.dummyfunction("""COMPUTED_VALUE"""),15400)</f>
        <v>15400</v>
      </c>
      <c r="G278" s="2" t="n">
        <f aca="false">IFERROR(__xludf.dummyfunction("""COMPUTED_VALUE"""),30)</f>
        <v>30</v>
      </c>
      <c r="H278" s="2" t="n">
        <f aca="false">IFERROR(__xludf.dummyfunction("""COMPUTED_VALUE"""),30)</f>
        <v>30</v>
      </c>
      <c r="I278" s="9" t="n">
        <f aca="false">IFERROR(__xludf.dummyfunction("""COMPUTED_VALUE"""),184800)</f>
        <v>184800</v>
      </c>
      <c r="J278" s="9" t="n">
        <f aca="false">IFERROR(__xludf.dummyfunction("""COMPUTED_VALUE"""),382)</f>
        <v>382</v>
      </c>
      <c r="K278" s="9"/>
      <c r="L278" s="9" t="n">
        <f aca="false">IFERROR(__xludf.dummyfunction("""COMPUTED_VALUE"""),0)</f>
        <v>0</v>
      </c>
      <c r="M278" s="9"/>
    </row>
    <row r="279" customFormat="false" ht="15.75" hidden="false" customHeight="false" outlineLevel="0" collapsed="false">
      <c r="A279" s="2" t="str">
        <f aca="false">IFERROR(__xludf.dummyfunction("""COMPUTED_VALUE"""),"SHPT/BMA/0274")</f>
        <v>SHPT/BMA/0274</v>
      </c>
      <c r="B279" s="2" t="str">
        <f aca="false">IFERROR(__xludf.dummyfunction("""COMPUTED_VALUE"""),"Reenaselvi")</f>
        <v>Reenaselvi</v>
      </c>
      <c r="C279" s="2" t="str">
        <f aca="false">IFERROR(__xludf.dummyfunction("""COMPUTED_VALUE"""),"Stores")</f>
        <v>Stores</v>
      </c>
      <c r="D279" s="2" t="str">
        <f aca="false">IFERROR(__xludf.dummyfunction("""COMPUTED_VALUE"""),"Kanha")</f>
        <v>Kanha</v>
      </c>
      <c r="E279" s="16" t="n">
        <f aca="false">IFERROR(__xludf.dummyfunction("""COMPUTED_VALUE"""),42461)</f>
        <v>42461</v>
      </c>
      <c r="F279" s="9" t="n">
        <f aca="false">IFERROR(__xludf.dummyfunction("""COMPUTED_VALUE"""),11550)</f>
        <v>11550</v>
      </c>
      <c r="G279" s="2" t="n">
        <f aca="false">IFERROR(__xludf.dummyfunction("""COMPUTED_VALUE"""),30)</f>
        <v>30</v>
      </c>
      <c r="H279" s="2" t="n">
        <f aca="false">IFERROR(__xludf.dummyfunction("""COMPUTED_VALUE"""),30)</f>
        <v>30</v>
      </c>
      <c r="I279" s="9" t="n">
        <f aca="false">IFERROR(__xludf.dummyfunction("""COMPUTED_VALUE"""),138600)</f>
        <v>138600</v>
      </c>
      <c r="J279" s="9" t="n">
        <f aca="false">IFERROR(__xludf.dummyfunction("""COMPUTED_VALUE"""),226)</f>
        <v>226</v>
      </c>
      <c r="K279" s="9"/>
      <c r="L279" s="9" t="n">
        <f aca="false">IFERROR(__xludf.dummyfunction("""COMPUTED_VALUE"""),0)</f>
        <v>0</v>
      </c>
      <c r="M279" s="9"/>
    </row>
    <row r="280" customFormat="false" ht="15.75" hidden="false" customHeight="false" outlineLevel="0" collapsed="false">
      <c r="A280" s="2" t="str">
        <f aca="false">IFERROR(__xludf.dummyfunction("""COMPUTED_VALUE"""),"SHPT/BMA/0267")</f>
        <v>SHPT/BMA/0267</v>
      </c>
      <c r="B280" s="2" t="str">
        <f aca="false">IFERROR(__xludf.dummyfunction("""COMPUTED_VALUE"""),"Jaya Kumar")</f>
        <v>Jaya Kumar</v>
      </c>
      <c r="C280" s="2" t="str">
        <f aca="false">IFERROR(__xludf.dummyfunction("""COMPUTED_VALUE"""),"Publication")</f>
        <v>Publication</v>
      </c>
      <c r="D280" s="2" t="str">
        <f aca="false">IFERROR(__xludf.dummyfunction("""COMPUTED_VALUE"""),"Chennai")</f>
        <v>Chennai</v>
      </c>
      <c r="E280" s="16" t="n">
        <f aca="false">IFERROR(__xludf.dummyfunction("""COMPUTED_VALUE"""),41867)</f>
        <v>41867</v>
      </c>
      <c r="F280" s="9" t="n">
        <f aca="false">IFERROR(__xludf.dummyfunction("""COMPUTED_VALUE"""),35000)</f>
        <v>35000</v>
      </c>
      <c r="G280" s="2" t="n">
        <f aca="false">IFERROR(__xludf.dummyfunction("""COMPUTED_VALUE"""),30)</f>
        <v>30</v>
      </c>
      <c r="H280" s="2" t="n">
        <f aca="false">IFERROR(__xludf.dummyfunction("""COMPUTED_VALUE"""),30)</f>
        <v>30</v>
      </c>
      <c r="I280" s="9" t="n">
        <f aca="false">IFERROR(__xludf.dummyfunction("""COMPUTED_VALUE"""),420000)</f>
        <v>420000</v>
      </c>
      <c r="J280" s="9" t="n">
        <f aca="false">IFERROR(__xludf.dummyfunction("""COMPUTED_VALUE"""),268)</f>
        <v>268</v>
      </c>
      <c r="K280" s="9"/>
      <c r="L280" s="9" t="n">
        <f aca="false">IFERROR(__xludf.dummyfunction("""COMPUTED_VALUE"""),0)</f>
        <v>0</v>
      </c>
      <c r="M280" s="9"/>
    </row>
    <row r="281" customFormat="false" ht="15.75" hidden="false" customHeight="false" outlineLevel="0" collapsed="false">
      <c r="A281" s="2" t="str">
        <f aca="false">IFERROR(__xludf.dummyfunction("""COMPUTED_VALUE"""),"SHPT/BMA/0103")</f>
        <v>SHPT/BMA/0103</v>
      </c>
      <c r="B281" s="2" t="str">
        <f aca="false">IFERROR(__xludf.dummyfunction("""COMPUTED_VALUE"""),"Vimalesh")</f>
        <v>Vimalesh</v>
      </c>
      <c r="C281" s="2" t="str">
        <f aca="false">IFERROR(__xludf.dummyfunction("""COMPUTED_VALUE"""),"Publication")</f>
        <v>Publication</v>
      </c>
      <c r="D281" s="2" t="str">
        <f aca="false">IFERROR(__xludf.dummyfunction("""COMPUTED_VALUE"""),"Chennai")</f>
        <v>Chennai</v>
      </c>
      <c r="E281" s="16" t="n">
        <f aca="false">IFERROR(__xludf.dummyfunction("""COMPUTED_VALUE"""),42430)</f>
        <v>42430</v>
      </c>
      <c r="F281" s="9" t="n">
        <f aca="false">IFERROR(__xludf.dummyfunction("""COMPUTED_VALUE"""),52000)</f>
        <v>52000</v>
      </c>
      <c r="G281" s="2" t="n">
        <f aca="false">IFERROR(__xludf.dummyfunction("""COMPUTED_VALUE"""),30)</f>
        <v>30</v>
      </c>
      <c r="H281" s="2" t="n">
        <f aca="false">IFERROR(__xludf.dummyfunction("""COMPUTED_VALUE"""),30)</f>
        <v>30</v>
      </c>
      <c r="I281" s="9" t="n">
        <f aca="false">IFERROR(__xludf.dummyfunction("""COMPUTED_VALUE"""),624000)</f>
        <v>624000</v>
      </c>
      <c r="J281" s="9" t="n">
        <f aca="false">IFERROR(__xludf.dummyfunction("""COMPUTED_VALUE"""),249)</f>
        <v>249</v>
      </c>
      <c r="K281" s="9"/>
      <c r="L281" s="9" t="n">
        <f aca="false">IFERROR(__xludf.dummyfunction("""COMPUTED_VALUE"""),0)</f>
        <v>0</v>
      </c>
      <c r="M281" s="9"/>
    </row>
    <row r="282" customFormat="false" ht="15.75" hidden="false" customHeight="false" outlineLevel="0" collapsed="false">
      <c r="A282" s="2" t="str">
        <f aca="false">IFERROR(__xludf.dummyfunction("""COMPUTED_VALUE"""),"SHPT/BMA/0269")</f>
        <v>SHPT/BMA/0269</v>
      </c>
      <c r="B282" s="2" t="str">
        <f aca="false">IFERROR(__xludf.dummyfunction("""COMPUTED_VALUE"""),"Vinod Kumar  M")</f>
        <v>Vinod Kumar  M</v>
      </c>
      <c r="C282" s="2" t="str">
        <f aca="false">IFERROR(__xludf.dummyfunction("""COMPUTED_VALUE"""),"Publication")</f>
        <v>Publication</v>
      </c>
      <c r="D282" s="2" t="str">
        <f aca="false">IFERROR(__xludf.dummyfunction("""COMPUTED_VALUE"""),"Chennai")</f>
        <v>Chennai</v>
      </c>
      <c r="E282" s="16" t="n">
        <f aca="false">IFERROR(__xludf.dummyfunction("""COMPUTED_VALUE"""),42531)</f>
        <v>42531</v>
      </c>
      <c r="F282" s="9" t="n">
        <f aca="false">IFERROR(__xludf.dummyfunction("""COMPUTED_VALUE"""),19600)</f>
        <v>19600</v>
      </c>
      <c r="G282" s="2" t="n">
        <f aca="false">IFERROR(__xludf.dummyfunction("""COMPUTED_VALUE"""),30)</f>
        <v>30</v>
      </c>
      <c r="H282" s="2" t="n">
        <f aca="false">IFERROR(__xludf.dummyfunction("""COMPUTED_VALUE"""),30)</f>
        <v>30</v>
      </c>
      <c r="I282" s="9" t="n">
        <f aca="false">IFERROR(__xludf.dummyfunction("""COMPUTED_VALUE"""),235200)</f>
        <v>235200</v>
      </c>
      <c r="J282" s="9" t="n">
        <f aca="false">IFERROR(__xludf.dummyfunction("""COMPUTED_VALUE"""),249)</f>
        <v>249</v>
      </c>
      <c r="K282" s="9"/>
      <c r="L282" s="9" t="n">
        <f aca="false">IFERROR(__xludf.dummyfunction("""COMPUTED_VALUE"""),0)</f>
        <v>0</v>
      </c>
      <c r="M282" s="9"/>
    </row>
    <row r="283" customFormat="false" ht="15.75" hidden="false" customHeight="false" outlineLevel="0" collapsed="false">
      <c r="A283" s="2" t="str">
        <f aca="false">IFERROR(__xludf.dummyfunction("""COMPUTED_VALUE"""),"SHPT/BMA/0279")</f>
        <v>SHPT/BMA/0279</v>
      </c>
      <c r="B283" s="2" t="str">
        <f aca="false">IFERROR(__xludf.dummyfunction("""COMPUTED_VALUE"""),"Vishal Pratap Mall")</f>
        <v>Vishal Pratap Mall</v>
      </c>
      <c r="C283" s="2" t="str">
        <f aca="false">IFERROR(__xludf.dummyfunction("""COMPUTED_VALUE"""),"Accounts")</f>
        <v>Accounts</v>
      </c>
      <c r="D283" s="2" t="str">
        <f aca="false">IFERROR(__xludf.dummyfunction("""COMPUTED_VALUE"""),"Chennai")</f>
        <v>Chennai</v>
      </c>
      <c r="E283" s="16" t="n">
        <f aca="false">IFERROR(__xludf.dummyfunction("""COMPUTED_VALUE"""),42527)</f>
        <v>42527</v>
      </c>
      <c r="F283" s="9" t="n">
        <f aca="false">IFERROR(__xludf.dummyfunction("""COMPUTED_VALUE"""),16500)</f>
        <v>16500</v>
      </c>
      <c r="G283" s="2" t="n">
        <f aca="false">IFERROR(__xludf.dummyfunction("""COMPUTED_VALUE"""),30)</f>
        <v>30</v>
      </c>
      <c r="H283" s="2" t="n">
        <f aca="false">IFERROR(__xludf.dummyfunction("""COMPUTED_VALUE"""),30)</f>
        <v>30</v>
      </c>
      <c r="I283" s="9" t="n">
        <f aca="false">IFERROR(__xludf.dummyfunction("""COMPUTED_VALUE"""),198000)</f>
        <v>198000</v>
      </c>
      <c r="J283" s="9" t="n">
        <f aca="false">IFERROR(__xludf.dummyfunction("""COMPUTED_VALUE"""),94)</f>
        <v>94</v>
      </c>
      <c r="K283" s="9"/>
      <c r="L283" s="9" t="n">
        <f aca="false">IFERROR(__xludf.dummyfunction("""COMPUTED_VALUE"""),0)</f>
        <v>0</v>
      </c>
      <c r="M283" s="9"/>
    </row>
    <row r="284" customFormat="false" ht="15.75" hidden="false" customHeight="false" outlineLevel="0" collapsed="false">
      <c r="A284" s="2" t="str">
        <f aca="false">IFERROR(__xludf.dummyfunction("""COMPUTED_VALUE"""),"SHPT/BMA/0107")</f>
        <v>SHPT/BMA/0107</v>
      </c>
      <c r="B284" s="2" t="str">
        <f aca="false">IFERROR(__xludf.dummyfunction("""COMPUTED_VALUE"""),"Sriram")</f>
        <v>Sriram</v>
      </c>
      <c r="C284" s="2" t="str">
        <f aca="false">IFERROR(__xludf.dummyfunction("""COMPUTED_VALUE"""),"Accounts")</f>
        <v>Accounts</v>
      </c>
      <c r="D284" s="2" t="str">
        <f aca="false">IFERROR(__xludf.dummyfunction("""COMPUTED_VALUE"""),"Kanha")</f>
        <v>Kanha</v>
      </c>
      <c r="E284" s="16" t="n">
        <f aca="false">IFERROR(__xludf.dummyfunction("""COMPUTED_VALUE"""),42879)</f>
        <v>42879</v>
      </c>
      <c r="F284" s="9" t="n">
        <f aca="false">IFERROR(__xludf.dummyfunction("""COMPUTED_VALUE"""),70000)</f>
        <v>70000</v>
      </c>
      <c r="G284" s="2" t="n">
        <f aca="false">IFERROR(__xludf.dummyfunction("""COMPUTED_VALUE"""),30)</f>
        <v>30</v>
      </c>
      <c r="H284" s="2" t="n">
        <f aca="false">IFERROR(__xludf.dummyfunction("""COMPUTED_VALUE"""),30)</f>
        <v>30</v>
      </c>
      <c r="I284" s="9" t="n">
        <f aca="false">IFERROR(__xludf.dummyfunction("""COMPUTED_VALUE"""),840000)</f>
        <v>840000</v>
      </c>
      <c r="J284" s="9" t="n">
        <f aca="false">IFERROR(__xludf.dummyfunction("""COMPUTED_VALUE"""),94)</f>
        <v>94</v>
      </c>
      <c r="K284" s="9"/>
      <c r="L284" s="9" t="n">
        <f aca="false">IFERROR(__xludf.dummyfunction("""COMPUTED_VALUE"""),0)</f>
        <v>0</v>
      </c>
      <c r="M284" s="9"/>
    </row>
    <row r="285" customFormat="false" ht="15.75" hidden="false" customHeight="false" outlineLevel="0" collapsed="false">
      <c r="A285" s="2" t="str">
        <f aca="false">IFERROR(__xludf.dummyfunction("""COMPUTED_VALUE"""),"SHPT/BMA/0283")</f>
        <v>SHPT/BMA/0283</v>
      </c>
      <c r="B285" s="2" t="str">
        <f aca="false">IFERROR(__xludf.dummyfunction("""COMPUTED_VALUE"""),"Murugesh")</f>
        <v>Murugesh</v>
      </c>
      <c r="C285" s="2" t="str">
        <f aca="false">IFERROR(__xludf.dummyfunction("""COMPUTED_VALUE"""),"Media")</f>
        <v>Media</v>
      </c>
      <c r="D285" s="2" t="str">
        <f aca="false">IFERROR(__xludf.dummyfunction("""COMPUTED_VALUE"""),"Chennai")</f>
        <v>Chennai</v>
      </c>
      <c r="E285" s="16" t="n">
        <f aca="false">IFERROR(__xludf.dummyfunction("""COMPUTED_VALUE"""),41153)</f>
        <v>41153</v>
      </c>
      <c r="F285" s="9" t="n">
        <f aca="false">IFERROR(__xludf.dummyfunction("""COMPUTED_VALUE"""),35500)</f>
        <v>35500</v>
      </c>
      <c r="G285" s="2" t="n">
        <f aca="false">IFERROR(__xludf.dummyfunction("""COMPUTED_VALUE"""),30)</f>
        <v>30</v>
      </c>
      <c r="H285" s="2" t="n">
        <f aca="false">IFERROR(__xludf.dummyfunction("""COMPUTED_VALUE"""),30)</f>
        <v>30</v>
      </c>
      <c r="I285" s="9" t="n">
        <f aca="false">IFERROR(__xludf.dummyfunction("""COMPUTED_VALUE"""),426000)</f>
        <v>426000</v>
      </c>
      <c r="J285" s="9" t="n">
        <f aca="false">IFERROR(__xludf.dummyfunction("""COMPUTED_VALUE"""),311)</f>
        <v>311</v>
      </c>
      <c r="K285" s="9"/>
      <c r="L285" s="9" t="n">
        <f aca="false">IFERROR(__xludf.dummyfunction("""COMPUTED_VALUE"""),0)</f>
        <v>0</v>
      </c>
      <c r="M285" s="9"/>
    </row>
    <row r="286" customFormat="false" ht="15.75" hidden="false" customHeight="false" outlineLevel="0" collapsed="false">
      <c r="A286" s="2" t="str">
        <f aca="false">IFERROR(__xludf.dummyfunction("""COMPUTED_VALUE"""),"SHPT/BMA/0070")</f>
        <v>SHPT/BMA/0070</v>
      </c>
      <c r="B286" s="2" t="str">
        <f aca="false">IFERROR(__xludf.dummyfunction("""COMPUTED_VALUE"""),"Rajesh  Sureka")</f>
        <v>Rajesh  Sureka</v>
      </c>
      <c r="C286" s="2" t="str">
        <f aca="false">IFERROR(__xludf.dummyfunction("""COMPUTED_VALUE"""),"Media")</f>
        <v>Media</v>
      </c>
      <c r="D286" s="2" t="str">
        <f aca="false">IFERROR(__xludf.dummyfunction("""COMPUTED_VALUE"""),"Kanha")</f>
        <v>Kanha</v>
      </c>
      <c r="E286" s="16" t="n">
        <f aca="false">IFERROR(__xludf.dummyfunction("""COMPUTED_VALUE"""),40461)</f>
        <v>40461</v>
      </c>
      <c r="F286" s="9" t="n">
        <f aca="false">IFERROR(__xludf.dummyfunction("""COMPUTED_VALUE"""),15000)</f>
        <v>15000</v>
      </c>
      <c r="G286" s="2" t="n">
        <f aca="false">IFERROR(__xludf.dummyfunction("""COMPUTED_VALUE"""),30)</f>
        <v>30</v>
      </c>
      <c r="H286" s="2" t="n">
        <f aca="false">IFERROR(__xludf.dummyfunction("""COMPUTED_VALUE"""),30)</f>
        <v>30</v>
      </c>
      <c r="I286" s="9" t="n">
        <f aca="false">IFERROR(__xludf.dummyfunction("""COMPUTED_VALUE"""),180000)</f>
        <v>180000</v>
      </c>
      <c r="J286" s="9" t="n">
        <f aca="false">IFERROR(__xludf.dummyfunction("""COMPUTED_VALUE"""),415)</f>
        <v>415</v>
      </c>
      <c r="K286" s="9"/>
      <c r="L286" s="9" t="n">
        <f aca="false">IFERROR(__xludf.dummyfunction("""COMPUTED_VALUE"""),0)</f>
        <v>0</v>
      </c>
      <c r="M286" s="9"/>
    </row>
    <row r="287" customFormat="false" ht="15.75" hidden="false" customHeight="false" outlineLevel="0" collapsed="false">
      <c r="A287" s="2" t="str">
        <f aca="false">IFERROR(__xludf.dummyfunction("""COMPUTED_VALUE"""),"SHPT/BMA/0284")</f>
        <v>SHPT/BMA/0284</v>
      </c>
      <c r="B287" s="2" t="str">
        <f aca="false">IFERROR(__xludf.dummyfunction("""COMPUTED_VALUE"""),"Vikram")</f>
        <v>Vikram</v>
      </c>
      <c r="C287" s="2" t="str">
        <f aca="false">IFERROR(__xludf.dummyfunction("""COMPUTED_VALUE"""),"Media")</f>
        <v>Media</v>
      </c>
      <c r="D287" s="2" t="str">
        <f aca="false">IFERROR(__xludf.dummyfunction("""COMPUTED_VALUE"""),"Kanha")</f>
        <v>Kanha</v>
      </c>
      <c r="E287" s="16" t="n">
        <f aca="false">IFERROR(__xludf.dummyfunction("""COMPUTED_VALUE"""),42309)</f>
        <v>42309</v>
      </c>
      <c r="F287" s="9" t="n">
        <f aca="false">IFERROR(__xludf.dummyfunction("""COMPUTED_VALUE"""),35400)</f>
        <v>35400</v>
      </c>
      <c r="G287" s="2" t="n">
        <f aca="false">IFERROR(__xludf.dummyfunction("""COMPUTED_VALUE"""),30)</f>
        <v>30</v>
      </c>
      <c r="H287" s="2" t="n">
        <f aca="false">IFERROR(__xludf.dummyfunction("""COMPUTED_VALUE"""),30)</f>
        <v>30</v>
      </c>
      <c r="I287" s="9" t="n">
        <f aca="false">IFERROR(__xludf.dummyfunction("""COMPUTED_VALUE"""),424800)</f>
        <v>424800</v>
      </c>
      <c r="J287" s="9" t="n">
        <f aca="false">IFERROR(__xludf.dummyfunction("""COMPUTED_VALUE"""),330)</f>
        <v>330</v>
      </c>
      <c r="K287" s="9"/>
      <c r="L287" s="9" t="n">
        <f aca="false">IFERROR(__xludf.dummyfunction("""COMPUTED_VALUE"""),0)</f>
        <v>0</v>
      </c>
      <c r="M287" s="9"/>
    </row>
    <row r="288" customFormat="false" ht="15.75" hidden="false" customHeight="false" outlineLevel="0" collapsed="false">
      <c r="A288" s="2" t="str">
        <f aca="false">IFERROR(__xludf.dummyfunction("""COMPUTED_VALUE"""),"SHPT/BMA/0046")</f>
        <v>SHPT/BMA/0046</v>
      </c>
      <c r="B288" s="2" t="str">
        <f aca="false">IFERROR(__xludf.dummyfunction("""COMPUTED_VALUE"""),"Lokesh")</f>
        <v>Lokesh</v>
      </c>
      <c r="C288" s="2" t="str">
        <f aca="false">IFERROR(__xludf.dummyfunction("""COMPUTED_VALUE"""),"Media")</f>
        <v>Media</v>
      </c>
      <c r="D288" s="2" t="str">
        <f aca="false">IFERROR(__xludf.dummyfunction("""COMPUTED_VALUE"""),"Kanha")</f>
        <v>Kanha</v>
      </c>
      <c r="E288" s="16" t="n">
        <f aca="false">IFERROR(__xludf.dummyfunction("""COMPUTED_VALUE"""),42512)</f>
        <v>42512</v>
      </c>
      <c r="F288" s="9" t="n">
        <f aca="false">IFERROR(__xludf.dummyfunction("""COMPUTED_VALUE"""),73500)</f>
        <v>73500</v>
      </c>
      <c r="G288" s="2" t="n">
        <f aca="false">IFERROR(__xludf.dummyfunction("""COMPUTED_VALUE"""),30)</f>
        <v>30</v>
      </c>
      <c r="H288" s="2" t="n">
        <f aca="false">IFERROR(__xludf.dummyfunction("""COMPUTED_VALUE"""),30)</f>
        <v>30</v>
      </c>
      <c r="I288" s="9" t="n">
        <f aca="false">IFERROR(__xludf.dummyfunction("""COMPUTED_VALUE"""),882000)</f>
        <v>882000</v>
      </c>
      <c r="J288" s="9" t="n">
        <f aca="false">IFERROR(__xludf.dummyfunction("""COMPUTED_VALUE"""),249)</f>
        <v>249</v>
      </c>
      <c r="K288" s="9"/>
      <c r="L288" s="9" t="n">
        <f aca="false">IFERROR(__xludf.dummyfunction("""COMPUTED_VALUE"""),0)</f>
        <v>0</v>
      </c>
      <c r="M288" s="9"/>
    </row>
    <row r="289" customFormat="false" ht="15.75" hidden="false" customHeight="false" outlineLevel="0" collapsed="false">
      <c r="A289" s="2" t="str">
        <f aca="false">IFERROR(__xludf.dummyfunction("""COMPUTED_VALUE"""),"SHPT/BMA/0285")</f>
        <v>SHPT/BMA/0285</v>
      </c>
      <c r="B289" s="2" t="str">
        <f aca="false">IFERROR(__xludf.dummyfunction("""COMPUTED_VALUE"""),"Surya")</f>
        <v>Surya</v>
      </c>
      <c r="C289" s="2" t="str">
        <f aca="false">IFERROR(__xludf.dummyfunction("""COMPUTED_VALUE"""),"Media")</f>
        <v>Media</v>
      </c>
      <c r="D289" s="2" t="str">
        <f aca="false">IFERROR(__xludf.dummyfunction("""COMPUTED_VALUE"""),"Kanha")</f>
        <v>Kanha</v>
      </c>
      <c r="E289" s="16" t="n">
        <f aca="false">IFERROR(__xludf.dummyfunction("""COMPUTED_VALUE"""),41427)</f>
        <v>41427</v>
      </c>
      <c r="F289" s="9" t="n">
        <f aca="false">IFERROR(__xludf.dummyfunction("""COMPUTED_VALUE"""),28000)</f>
        <v>28000</v>
      </c>
      <c r="G289" s="2" t="n">
        <f aca="false">IFERROR(__xludf.dummyfunction("""COMPUTED_VALUE"""),30)</f>
        <v>30</v>
      </c>
      <c r="H289" s="2" t="n">
        <f aca="false">IFERROR(__xludf.dummyfunction("""COMPUTED_VALUE"""),30)</f>
        <v>30</v>
      </c>
      <c r="I289" s="9" t="n">
        <f aca="false">IFERROR(__xludf.dummyfunction("""COMPUTED_VALUE"""),336000)</f>
        <v>336000</v>
      </c>
      <c r="J289" s="9" t="n">
        <f aca="false">IFERROR(__xludf.dummyfunction("""COMPUTED_VALUE"""),249)</f>
        <v>249</v>
      </c>
      <c r="K289" s="9"/>
      <c r="L289" s="9" t="n">
        <f aca="false">IFERROR(__xludf.dummyfunction("""COMPUTED_VALUE"""),0)</f>
        <v>0</v>
      </c>
      <c r="M289" s="9"/>
    </row>
    <row r="290" customFormat="false" ht="15.75" hidden="false" customHeight="false" outlineLevel="0" collapsed="false">
      <c r="A290" s="2" t="str">
        <f aca="false">IFERROR(__xludf.dummyfunction("""COMPUTED_VALUE"""),"SHPT/KAN/0610")</f>
        <v>SHPT/KAN/0610</v>
      </c>
      <c r="B290" s="2" t="str">
        <f aca="false">IFERROR(__xludf.dummyfunction("""COMPUTED_VALUE"""),"Uma Maheswari")</f>
        <v>Uma Maheswari</v>
      </c>
      <c r="C290" s="2" t="str">
        <f aca="false">IFERROR(__xludf.dummyfunction("""COMPUTED_VALUE"""),"Design")</f>
        <v>Design</v>
      </c>
      <c r="D290" s="2" t="str">
        <f aca="false">IFERROR(__xludf.dummyfunction("""COMPUTED_VALUE"""),"Hyd")</f>
        <v>Hyd</v>
      </c>
      <c r="E290" s="16" t="n">
        <f aca="false">IFERROR(__xludf.dummyfunction("""COMPUTED_VALUE"""),42491)</f>
        <v>42491</v>
      </c>
      <c r="F290" s="9" t="n">
        <f aca="false">IFERROR(__xludf.dummyfunction("""COMPUTED_VALUE"""),82700)</f>
        <v>82700</v>
      </c>
      <c r="G290" s="2" t="n">
        <f aca="false">IFERROR(__xludf.dummyfunction("""COMPUTED_VALUE"""),30)</f>
        <v>30</v>
      </c>
      <c r="H290" s="2" t="n">
        <f aca="false">IFERROR(__xludf.dummyfunction("""COMPUTED_VALUE"""),30)</f>
        <v>30</v>
      </c>
      <c r="I290" s="9" t="n">
        <f aca="false">IFERROR(__xludf.dummyfunction("""COMPUTED_VALUE"""),992400)</f>
        <v>992400</v>
      </c>
      <c r="J290" s="9" t="n">
        <f aca="false">IFERROR(__xludf.dummyfunction("""COMPUTED_VALUE"""),309)</f>
        <v>309</v>
      </c>
      <c r="K290" s="9"/>
      <c r="L290" s="9" t="n">
        <f aca="false">IFERROR(__xludf.dummyfunction("""COMPUTED_VALUE"""),0)</f>
        <v>0</v>
      </c>
      <c r="M290" s="9"/>
    </row>
    <row r="291" customFormat="false" ht="15.75" hidden="false" customHeight="false" outlineLevel="0" collapsed="false">
      <c r="A291" s="2" t="str">
        <f aca="false">IFERROR(__xludf.dummyfunction("""COMPUTED_VALUE"""),"SHPT/KAN/0481")</f>
        <v>SHPT/KAN/0481</v>
      </c>
      <c r="B291" s="2" t="str">
        <f aca="false">IFERROR(__xludf.dummyfunction("""COMPUTED_VALUE"""),"Keshava Reddy")</f>
        <v>Keshava Reddy</v>
      </c>
      <c r="C291" s="2" t="str">
        <f aca="false">IFERROR(__xludf.dummyfunction("""COMPUTED_VALUE"""),"HFN Magzine")</f>
        <v>HFN Magzine</v>
      </c>
      <c r="D291" s="2" t="str">
        <f aca="false">IFERROR(__xludf.dummyfunction("""COMPUTED_VALUE"""),"Hyd")</f>
        <v>Hyd</v>
      </c>
      <c r="E291" s="16" t="n">
        <f aca="false">IFERROR(__xludf.dummyfunction("""COMPUTED_VALUE"""),42506)</f>
        <v>42506</v>
      </c>
      <c r="F291" s="9" t="n">
        <f aca="false">IFERROR(__xludf.dummyfunction("""COMPUTED_VALUE"""),14500)</f>
        <v>14500</v>
      </c>
      <c r="G291" s="2" t="n">
        <f aca="false">IFERROR(__xludf.dummyfunction("""COMPUTED_VALUE"""),30)</f>
        <v>30</v>
      </c>
      <c r="H291" s="2" t="n">
        <f aca="false">IFERROR(__xludf.dummyfunction("""COMPUTED_VALUE"""),30)</f>
        <v>30</v>
      </c>
      <c r="I291" s="9" t="n">
        <f aca="false">IFERROR(__xludf.dummyfunction("""COMPUTED_VALUE"""),174000)</f>
        <v>174000</v>
      </c>
      <c r="J291" s="9" t="n">
        <f aca="false">IFERROR(__xludf.dummyfunction("""COMPUTED_VALUE"""),210)</f>
        <v>210</v>
      </c>
      <c r="K291" s="9"/>
      <c r="L291" s="9" t="n">
        <f aca="false">IFERROR(__xludf.dummyfunction("""COMPUTED_VALUE"""),0)</f>
        <v>0</v>
      </c>
      <c r="M291" s="9"/>
    </row>
    <row r="292" customFormat="false" ht="15.75" hidden="false" customHeight="false" outlineLevel="0" collapsed="false">
      <c r="A292" s="2" t="str">
        <f aca="false">IFERROR(__xludf.dummyfunction("""COMPUTED_VALUE"""),"SHPT/BMA/0611")</f>
        <v>SHPT/BMA/0611</v>
      </c>
      <c r="B292" s="2" t="str">
        <f aca="false">IFERROR(__xludf.dummyfunction("""COMPUTED_VALUE"""),"Sujana. B")</f>
        <v>Sujana. B</v>
      </c>
      <c r="C292" s="2" t="str">
        <f aca="false">IFERROR(__xludf.dummyfunction("""COMPUTED_VALUE"""),"Book Stall")</f>
        <v>Book Stall</v>
      </c>
      <c r="D292" s="2" t="str">
        <f aca="false">IFERROR(__xludf.dummyfunction("""COMPUTED_VALUE"""),"Chennai")</f>
        <v>Chennai</v>
      </c>
      <c r="E292" s="16" t="n">
        <f aca="false">IFERROR(__xludf.dummyfunction("""COMPUTED_VALUE"""),43145)</f>
        <v>43145</v>
      </c>
      <c r="F292" s="9" t="n">
        <f aca="false">IFERROR(__xludf.dummyfunction("""COMPUTED_VALUE"""),11000)</f>
        <v>11000</v>
      </c>
      <c r="G292" s="2" t="n">
        <f aca="false">IFERROR(__xludf.dummyfunction("""COMPUTED_VALUE"""),30)</f>
        <v>30</v>
      </c>
      <c r="H292" s="2" t="n">
        <f aca="false">IFERROR(__xludf.dummyfunction("""COMPUTED_VALUE"""),30)</f>
        <v>30</v>
      </c>
      <c r="I292" s="9" t="n">
        <f aca="false">IFERROR(__xludf.dummyfunction("""COMPUTED_VALUE"""),132000)</f>
        <v>132000</v>
      </c>
      <c r="J292" s="9" t="n">
        <f aca="false">IFERROR(__xludf.dummyfunction("""COMPUTED_VALUE"""),356)</f>
        <v>356</v>
      </c>
      <c r="K292" s="9"/>
      <c r="L292" s="9" t="n">
        <f aca="false">IFERROR(__xludf.dummyfunction("""COMPUTED_VALUE"""),0)</f>
        <v>0</v>
      </c>
      <c r="M292" s="9"/>
    </row>
    <row r="293" customFormat="false" ht="15.75" hidden="false" customHeight="false" outlineLevel="0" collapsed="false">
      <c r="A293" s="2" t="str">
        <f aca="false">IFERROR(__xludf.dummyfunction("""COMPUTED_VALUE"""),"SHPT/BMA/0612")</f>
        <v>SHPT/BMA/0612</v>
      </c>
      <c r="B293" s="2" t="str">
        <f aca="false">IFERROR(__xludf.dummyfunction("""COMPUTED_VALUE"""),"Nehal")</f>
        <v>Nehal</v>
      </c>
      <c r="C293" s="2" t="str">
        <f aca="false">IFERROR(__xludf.dummyfunction("""COMPUTED_VALUE"""),"SHPT Design")</f>
        <v>SHPT Design</v>
      </c>
      <c r="D293" s="2" t="str">
        <f aca="false">IFERROR(__xludf.dummyfunction("""COMPUTED_VALUE"""),"Kanha")</f>
        <v>Kanha</v>
      </c>
      <c r="E293" s="16" t="n">
        <f aca="false">IFERROR(__xludf.dummyfunction("""COMPUTED_VALUE"""),43157)</f>
        <v>43157</v>
      </c>
      <c r="F293" s="9" t="n">
        <f aca="false">IFERROR(__xludf.dummyfunction("""COMPUTED_VALUE"""),20000)</f>
        <v>20000</v>
      </c>
      <c r="G293" s="2" t="n">
        <f aca="false">IFERROR(__xludf.dummyfunction("""COMPUTED_VALUE"""),30)</f>
        <v>30</v>
      </c>
      <c r="H293" s="2" t="n">
        <f aca="false">IFERROR(__xludf.dummyfunction("""COMPUTED_VALUE"""),30)</f>
        <v>30</v>
      </c>
      <c r="I293" s="9" t="n">
        <f aca="false">IFERROR(__xludf.dummyfunction("""COMPUTED_VALUE"""),240000)</f>
        <v>240000</v>
      </c>
      <c r="J293" s="9" t="n">
        <f aca="false">IFERROR(__xludf.dummyfunction("""COMPUTED_VALUE"""),91)</f>
        <v>91</v>
      </c>
      <c r="K293" s="9"/>
      <c r="L293" s="9" t="n">
        <f aca="false">IFERROR(__xludf.dummyfunction("""COMPUTED_VALUE"""),0)</f>
        <v>0</v>
      </c>
      <c r="M293" s="9"/>
    </row>
    <row r="294" customFormat="false" ht="15.75" hidden="false" customHeight="false" outlineLevel="0" collapsed="false">
      <c r="A294" s="2" t="str">
        <f aca="false">IFERROR(__xludf.dummyfunction("""COMPUTED_VALUE"""),"SHPT/BMA/0670")</f>
        <v>SHPT/BMA/0670</v>
      </c>
      <c r="B294" s="2" t="str">
        <f aca="false">IFERROR(__xludf.dummyfunction("""COMPUTED_VALUE"""),"T.Karthick Jagannath")</f>
        <v>T.Karthick Jagannath</v>
      </c>
      <c r="C294" s="2" t="str">
        <f aca="false">IFERROR(__xludf.dummyfunction("""COMPUTED_VALUE"""),"Media")</f>
        <v>Media</v>
      </c>
      <c r="D294" s="2" t="str">
        <f aca="false">IFERROR(__xludf.dummyfunction("""COMPUTED_VALUE"""),"Chennai")</f>
        <v>Chennai</v>
      </c>
      <c r="E294" s="16" t="n">
        <f aca="false">IFERROR(__xludf.dummyfunction("""COMPUTED_VALUE"""),43222)</f>
        <v>43222</v>
      </c>
      <c r="F294" s="9" t="n">
        <f aca="false">IFERROR(__xludf.dummyfunction("""COMPUTED_VALUE"""),27500)</f>
        <v>27500</v>
      </c>
      <c r="G294" s="2" t="n">
        <f aca="false">IFERROR(__xludf.dummyfunction("""COMPUTED_VALUE"""),30)</f>
        <v>30</v>
      </c>
      <c r="H294" s="2" t="n">
        <f aca="false">IFERROR(__xludf.dummyfunction("""COMPUTED_VALUE"""),30)</f>
        <v>30</v>
      </c>
      <c r="I294" s="9" t="n">
        <f aca="false">IFERROR(__xludf.dummyfunction("""COMPUTED_VALUE"""),330000)</f>
        <v>330000</v>
      </c>
      <c r="J294" s="9" t="n">
        <f aca="false">IFERROR(__xludf.dummyfunction("""COMPUTED_VALUE"""),187)</f>
        <v>187</v>
      </c>
      <c r="K294" s="9"/>
      <c r="L294" s="9" t="n">
        <f aca="false">IFERROR(__xludf.dummyfunction("""COMPUTED_VALUE"""),0)</f>
        <v>0</v>
      </c>
      <c r="M294" s="9"/>
    </row>
    <row r="295" customFormat="false" ht="15.75" hidden="false" customHeight="false" outlineLevel="0" collapsed="false">
      <c r="A295" s="2" t="str">
        <f aca="false">IFERROR(__xludf.dummyfunction("""COMPUTED_VALUE"""),"SHPT/BMA/0875")</f>
        <v>SHPT/BMA/0875</v>
      </c>
      <c r="B295" s="2" t="str">
        <f aca="false">IFERROR(__xludf.dummyfunction("""COMPUTED_VALUE"""),"Prasanth")</f>
        <v>Prasanth</v>
      </c>
      <c r="C295" s="2" t="str">
        <f aca="false">IFERROR(__xludf.dummyfunction("""COMPUTED_VALUE"""),"Accounts")</f>
        <v>Accounts</v>
      </c>
      <c r="D295" s="2" t="str">
        <f aca="false">IFERROR(__xludf.dummyfunction("""COMPUTED_VALUE"""),"Chennai")</f>
        <v>Chennai</v>
      </c>
      <c r="E295" s="16" t="n">
        <f aca="false">IFERROR(__xludf.dummyfunction("""COMPUTED_VALUE"""),43243)</f>
        <v>43243</v>
      </c>
      <c r="F295" s="9" t="n">
        <f aca="false">IFERROR(__xludf.dummyfunction("""COMPUTED_VALUE"""),16500)</f>
        <v>16500</v>
      </c>
      <c r="G295" s="2" t="n">
        <f aca="false">IFERROR(__xludf.dummyfunction("""COMPUTED_VALUE"""),30)</f>
        <v>30</v>
      </c>
      <c r="H295" s="2" t="n">
        <f aca="false">IFERROR(__xludf.dummyfunction("""COMPUTED_VALUE"""),30)</f>
        <v>30</v>
      </c>
      <c r="I295" s="9" t="n">
        <f aca="false">IFERROR(__xludf.dummyfunction("""COMPUTED_VALUE"""),198000)</f>
        <v>198000</v>
      </c>
      <c r="J295" s="9" t="n">
        <f aca="false">IFERROR(__xludf.dummyfunction("""COMPUTED_VALUE"""),249)</f>
        <v>249</v>
      </c>
      <c r="K295" s="9"/>
      <c r="L295" s="9" t="n">
        <f aca="false">IFERROR(__xludf.dummyfunction("""COMPUTED_VALUE"""),0)</f>
        <v>0</v>
      </c>
      <c r="M295" s="9"/>
    </row>
    <row r="296" customFormat="false" ht="15.75" hidden="false" customHeight="false" outlineLevel="0" collapsed="false">
      <c r="A296" s="2" t="str">
        <f aca="false">IFERROR(__xludf.dummyfunction("""COMPUTED_VALUE"""),"SHPT/BMA/0695")</f>
        <v>SHPT/BMA/0695</v>
      </c>
      <c r="B296" s="2" t="str">
        <f aca="false">IFERROR(__xludf.dummyfunction("""COMPUTED_VALUE"""),"Subrato Mukherjee")</f>
        <v>Subrato Mukherjee</v>
      </c>
      <c r="C296" s="2" t="str">
        <f aca="false">IFERROR(__xludf.dummyfunction("""COMPUTED_VALUE"""),"Design")</f>
        <v>Design</v>
      </c>
      <c r="D296" s="2" t="str">
        <f aca="false">IFERROR(__xludf.dummyfunction("""COMPUTED_VALUE"""),"Chennai")</f>
        <v>Chennai</v>
      </c>
      <c r="E296" s="16" t="n">
        <f aca="false">IFERROR(__xludf.dummyfunction("""COMPUTED_VALUE"""),43252)</f>
        <v>43252</v>
      </c>
      <c r="F296" s="9" t="n">
        <f aca="false">IFERROR(__xludf.dummyfunction("""COMPUTED_VALUE"""),72100)</f>
        <v>72100</v>
      </c>
      <c r="G296" s="2" t="n">
        <f aca="false">IFERROR(__xludf.dummyfunction("""COMPUTED_VALUE"""),30)</f>
        <v>30</v>
      </c>
      <c r="H296" s="2" t="n">
        <f aca="false">IFERROR(__xludf.dummyfunction("""COMPUTED_VALUE"""),30)</f>
        <v>30</v>
      </c>
      <c r="I296" s="9" t="n">
        <f aca="false">IFERROR(__xludf.dummyfunction("""COMPUTED_VALUE"""),865200)</f>
        <v>865200</v>
      </c>
      <c r="J296" s="9" t="n">
        <f aca="false">IFERROR(__xludf.dummyfunction("""COMPUTED_VALUE"""),382)</f>
        <v>382</v>
      </c>
      <c r="K296" s="9"/>
      <c r="L296" s="9" t="n">
        <f aca="false">IFERROR(__xludf.dummyfunction("""COMPUTED_VALUE"""),0)</f>
        <v>0</v>
      </c>
      <c r="M296" s="9"/>
    </row>
    <row r="297" customFormat="false" ht="15.75" hidden="false" customHeight="false" outlineLevel="0" collapsed="false">
      <c r="A297" s="2" t="str">
        <f aca="false">IFERROR(__xludf.dummyfunction("""COMPUTED_VALUE"""),"SHPT/BMA/1462")</f>
        <v>SHPT/BMA/1462</v>
      </c>
      <c r="B297" s="2" t="str">
        <f aca="false">IFERROR(__xludf.dummyfunction("""COMPUTED_VALUE"""),"Selvaraj")</f>
        <v>Selvaraj</v>
      </c>
      <c r="C297" s="2" t="str">
        <f aca="false">IFERROR(__xludf.dummyfunction("""COMPUTED_VALUE"""),"Accounts")</f>
        <v>Accounts</v>
      </c>
      <c r="D297" s="2" t="str">
        <f aca="false">IFERROR(__xludf.dummyfunction("""COMPUTED_VALUE"""),"Chennai")</f>
        <v>Chennai</v>
      </c>
      <c r="E297" s="16" t="n">
        <f aca="false">IFERROR(__xludf.dummyfunction("""COMPUTED_VALUE"""),43711)</f>
        <v>43711</v>
      </c>
      <c r="F297" s="9" t="n">
        <f aca="false">IFERROR(__xludf.dummyfunction("""COMPUTED_VALUE"""),22050)</f>
        <v>22050</v>
      </c>
      <c r="G297" s="2" t="n">
        <f aca="false">IFERROR(__xludf.dummyfunction("""COMPUTED_VALUE"""),30)</f>
        <v>30</v>
      </c>
      <c r="H297" s="2" t="n">
        <f aca="false">IFERROR(__xludf.dummyfunction("""COMPUTED_VALUE"""),30)</f>
        <v>30</v>
      </c>
      <c r="I297" s="9" t="n">
        <f aca="false">IFERROR(__xludf.dummyfunction("""COMPUTED_VALUE"""),264600)</f>
        <v>264600</v>
      </c>
      <c r="J297" s="9" t="n">
        <f aca="false">IFERROR(__xludf.dummyfunction("""COMPUTED_VALUE"""),401)</f>
        <v>401</v>
      </c>
      <c r="K297" s="9"/>
      <c r="L297" s="9" t="n">
        <f aca="false">IFERROR(__xludf.dummyfunction("""COMPUTED_VALUE"""),0)</f>
        <v>0</v>
      </c>
      <c r="M297" s="9"/>
    </row>
    <row r="298" customFormat="false" ht="15.75" hidden="false" customHeight="false" outlineLevel="0" collapsed="false">
      <c r="A298" s="2" t="str">
        <f aca="false">IFERROR(__xludf.dummyfunction("""COMPUTED_VALUE"""),"SHKJ/KAN/1214")</f>
        <v>SHKJ/KAN/1214</v>
      </c>
      <c r="B298" s="2" t="str">
        <f aca="false">IFERROR(__xludf.dummyfunction("""COMPUTED_VALUE"""),"Abhilasha")</f>
        <v>Abhilasha</v>
      </c>
      <c r="C298" s="2" t="str">
        <f aca="false">IFERROR(__xludf.dummyfunction("""COMPUTED_VALUE"""),"Videographer")</f>
        <v>Videographer</v>
      </c>
      <c r="D298" s="2" t="str">
        <f aca="false">IFERROR(__xludf.dummyfunction("""COMPUTED_VALUE"""),"Kanha")</f>
        <v>Kanha</v>
      </c>
      <c r="E298" s="16" t="n">
        <f aca="false">IFERROR(__xludf.dummyfunction("""COMPUTED_VALUE"""),43795)</f>
        <v>43795</v>
      </c>
      <c r="F298" s="9" t="n">
        <f aca="false">IFERROR(__xludf.dummyfunction("""COMPUTED_VALUE"""),30000)</f>
        <v>30000</v>
      </c>
      <c r="G298" s="2" t="n">
        <f aca="false">IFERROR(__xludf.dummyfunction("""COMPUTED_VALUE"""),30)</f>
        <v>30</v>
      </c>
      <c r="H298" s="2" t="n">
        <f aca="false">IFERROR(__xludf.dummyfunction("""COMPUTED_VALUE"""),30)</f>
        <v>30</v>
      </c>
      <c r="I298" s="9" t="n">
        <f aca="false">IFERROR(__xludf.dummyfunction("""COMPUTED_VALUE"""),360000)</f>
        <v>360000</v>
      </c>
      <c r="J298" s="9" t="n">
        <f aca="false">IFERROR(__xludf.dummyfunction("""COMPUTED_VALUE"""),91)</f>
        <v>91</v>
      </c>
      <c r="K298" s="9"/>
      <c r="L298" s="9" t="n">
        <f aca="false">IFERROR(__xludf.dummyfunction("""COMPUTED_VALUE"""),0)</f>
        <v>0</v>
      </c>
      <c r="M298" s="9"/>
    </row>
    <row r="299" customFormat="false" ht="15.75" hidden="false" customHeight="false" outlineLevel="0" collapsed="false">
      <c r="A299" s="2" t="str">
        <f aca="false">IFERROR(__xludf.dummyfunction("""COMPUTED_VALUE"""),"HFI/KAN/1385")</f>
        <v>HFI/KAN/1385</v>
      </c>
      <c r="B299" s="2" t="str">
        <f aca="false">IFERROR(__xludf.dummyfunction("""COMPUTED_VALUE"""),"Renatla Rama Krishna")</f>
        <v>Renatla Rama Krishna</v>
      </c>
      <c r="C299" s="2" t="str">
        <f aca="false">IFERROR(__xludf.dummyfunction("""COMPUTED_VALUE"""),"Media")</f>
        <v>Media</v>
      </c>
      <c r="D299" s="2" t="str">
        <f aca="false">IFERROR(__xludf.dummyfunction("""COMPUTED_VALUE"""),"Kanha")</f>
        <v>Kanha</v>
      </c>
      <c r="E299" s="16" t="n">
        <f aca="false">IFERROR(__xludf.dummyfunction("""COMPUTED_VALUE"""),43887)</f>
        <v>43887</v>
      </c>
      <c r="F299" s="9" t="n">
        <f aca="false">IFERROR(__xludf.dummyfunction("""COMPUTED_VALUE"""),25000)</f>
        <v>25000</v>
      </c>
      <c r="G299" s="2" t="n">
        <f aca="false">IFERROR(__xludf.dummyfunction("""COMPUTED_VALUE"""),30)</f>
        <v>30</v>
      </c>
      <c r="H299" s="2" t="n">
        <f aca="false">IFERROR(__xludf.dummyfunction("""COMPUTED_VALUE"""),30)</f>
        <v>30</v>
      </c>
      <c r="I299" s="9" t="n">
        <f aca="false">IFERROR(__xludf.dummyfunction("""COMPUTED_VALUE"""),300000)</f>
        <v>300000</v>
      </c>
      <c r="J299" s="9" t="n">
        <f aca="false">IFERROR(__xludf.dummyfunction("""COMPUTED_VALUE"""),106)</f>
        <v>106</v>
      </c>
      <c r="K299" s="9"/>
      <c r="L299" s="9" t="n">
        <f aca="false">IFERROR(__xludf.dummyfunction("""COMPUTED_VALUE"""),0)</f>
        <v>0</v>
      </c>
      <c r="M299" s="9"/>
    </row>
    <row r="300" customFormat="false" ht="15.75" hidden="false" customHeight="false" outlineLevel="0" collapsed="false">
      <c r="A300" s="2" t="str">
        <f aca="false">IFERROR(__xludf.dummyfunction("""COMPUTED_VALUE"""),"HFI/KAN/1386")</f>
        <v>HFI/KAN/1386</v>
      </c>
      <c r="B300" s="2" t="str">
        <f aca="false">IFERROR(__xludf.dummyfunction("""COMPUTED_VALUE"""),"Nagula Sreekar")</f>
        <v>Nagula Sreekar</v>
      </c>
      <c r="C300" s="2" t="str">
        <f aca="false">IFERROR(__xludf.dummyfunction("""COMPUTED_VALUE"""),"Media")</f>
        <v>Media</v>
      </c>
      <c r="D300" s="2" t="str">
        <f aca="false">IFERROR(__xludf.dummyfunction("""COMPUTED_VALUE"""),"Kanha")</f>
        <v>Kanha</v>
      </c>
      <c r="E300" s="16" t="n">
        <f aca="false">IFERROR(__xludf.dummyfunction("""COMPUTED_VALUE"""),43892)</f>
        <v>43892</v>
      </c>
      <c r="F300" s="9" t="n">
        <f aca="false">IFERROR(__xludf.dummyfunction("""COMPUTED_VALUE"""),25000)</f>
        <v>25000</v>
      </c>
      <c r="G300" s="2" t="n">
        <f aca="false">IFERROR(__xludf.dummyfunction("""COMPUTED_VALUE"""),30)</f>
        <v>30</v>
      </c>
      <c r="H300" s="2" t="n">
        <f aca="false">IFERROR(__xludf.dummyfunction("""COMPUTED_VALUE"""),30)</f>
        <v>30</v>
      </c>
      <c r="I300" s="9" t="n">
        <f aca="false">IFERROR(__xludf.dummyfunction("""COMPUTED_VALUE"""),300000)</f>
        <v>300000</v>
      </c>
      <c r="J300" s="9" t="n">
        <f aca="false">IFERROR(__xludf.dummyfunction("""COMPUTED_VALUE"""),106)</f>
        <v>106</v>
      </c>
      <c r="K300" s="9"/>
      <c r="L300" s="9" t="n">
        <f aca="false">IFERROR(__xludf.dummyfunction("""COMPUTED_VALUE"""),0)</f>
        <v>0</v>
      </c>
      <c r="M300" s="9"/>
    </row>
    <row r="301" customFormat="false" ht="15.75" hidden="false" customHeight="false" outlineLevel="0" collapsed="false">
      <c r="A301" s="2" t="str">
        <f aca="false">IFERROR(__xludf.dummyfunction("""COMPUTED_VALUE"""),"SHKJ/KAN/0972")</f>
        <v>SHKJ/KAN/0972</v>
      </c>
      <c r="B301" s="2" t="str">
        <f aca="false">IFERROR(__xludf.dummyfunction("""COMPUTED_VALUE"""),"Subodh Prasad")</f>
        <v>Subodh Prasad</v>
      </c>
      <c r="C301" s="2" t="str">
        <f aca="false">IFERROR(__xludf.dummyfunction("""COMPUTED_VALUE"""),"Men &amp; Machines")</f>
        <v>Men &amp; Machines</v>
      </c>
      <c r="D301" s="2" t="str">
        <f aca="false">IFERROR(__xludf.dummyfunction("""COMPUTED_VALUE"""),"Kanha")</f>
        <v>Kanha</v>
      </c>
      <c r="E301" s="16" t="n">
        <f aca="false">IFERROR(__xludf.dummyfunction("""COMPUTED_VALUE"""),43278)</f>
        <v>43278</v>
      </c>
      <c r="F301" s="9" t="n">
        <f aca="false">IFERROR(__xludf.dummyfunction("""COMPUTED_VALUE"""),18700)</f>
        <v>18700</v>
      </c>
      <c r="G301" s="2" t="n">
        <f aca="false">IFERROR(__xludf.dummyfunction("""COMPUTED_VALUE"""),30)</f>
        <v>30</v>
      </c>
      <c r="H301" s="2" t="n">
        <f aca="false">IFERROR(__xludf.dummyfunction("""COMPUTED_VALUE"""),30)</f>
        <v>30</v>
      </c>
      <c r="I301" s="9" t="n">
        <f aca="false">IFERROR(__xludf.dummyfunction("""COMPUTED_VALUE"""),224400)</f>
        <v>224400</v>
      </c>
      <c r="J301" s="9" t="n">
        <f aca="false">IFERROR(__xludf.dummyfunction("""COMPUTED_VALUE"""),388)</f>
        <v>388</v>
      </c>
      <c r="K301" s="9"/>
      <c r="L301" s="9" t="n">
        <f aca="false">IFERROR(__xludf.dummyfunction("""COMPUTED_VALUE"""),0)</f>
        <v>0</v>
      </c>
      <c r="M301" s="9"/>
    </row>
    <row r="302" customFormat="false" ht="15.75" hidden="false" customHeight="false" outlineLevel="0" collapsed="false">
      <c r="A302" s="2" t="str">
        <f aca="false">IFERROR(__xludf.dummyfunction("""COMPUTED_VALUE"""),"SHKJ/KAN/0973")</f>
        <v>SHKJ/KAN/0973</v>
      </c>
      <c r="B302" s="2" t="str">
        <f aca="false">IFERROR(__xludf.dummyfunction("""COMPUTED_VALUE"""),"VENKATESH  YATHIRAJAM")</f>
        <v>VENKATESH  YATHIRAJAM</v>
      </c>
      <c r="C302" s="2" t="str">
        <f aca="false">IFERROR(__xludf.dummyfunction("""COMPUTED_VALUE"""),"Civil")</f>
        <v>Civil</v>
      </c>
      <c r="D302" s="2" t="str">
        <f aca="false">IFERROR(__xludf.dummyfunction("""COMPUTED_VALUE"""),"Kanha")</f>
        <v>Kanha</v>
      </c>
      <c r="E302" s="16" t="n">
        <f aca="false">IFERROR(__xludf.dummyfunction("""COMPUTED_VALUE"""),42863)</f>
        <v>42863</v>
      </c>
      <c r="F302" s="9" t="n">
        <f aca="false">IFERROR(__xludf.dummyfunction("""COMPUTED_VALUE"""),25410)</f>
        <v>25410</v>
      </c>
      <c r="G302" s="2" t="n">
        <f aca="false">IFERROR(__xludf.dummyfunction("""COMPUTED_VALUE"""),30)</f>
        <v>30</v>
      </c>
      <c r="H302" s="2" t="n">
        <f aca="false">IFERROR(__xludf.dummyfunction("""COMPUTED_VALUE"""),30)</f>
        <v>30</v>
      </c>
      <c r="I302" s="9" t="n">
        <f aca="false">IFERROR(__xludf.dummyfunction("""COMPUTED_VALUE"""),322920)</f>
        <v>322920</v>
      </c>
      <c r="J302" s="9" t="n">
        <f aca="false">IFERROR(__xludf.dummyfunction("""COMPUTED_VALUE"""),317)</f>
        <v>317</v>
      </c>
      <c r="K302" s="9"/>
      <c r="L302" s="9" t="n">
        <f aca="false">IFERROR(__xludf.dummyfunction("""COMPUTED_VALUE"""),1500)</f>
        <v>1500</v>
      </c>
      <c r="M302" s="9"/>
    </row>
    <row r="303" customFormat="false" ht="15.75" hidden="false" customHeight="false" outlineLevel="0" collapsed="false">
      <c r="A303" s="2" t="str">
        <f aca="false">IFERROR(__xludf.dummyfunction("""COMPUTED_VALUE"""),"SHKJ/KAN/0975")</f>
        <v>SHKJ/KAN/0975</v>
      </c>
      <c r="B303" s="2" t="str">
        <f aca="false">IFERROR(__xludf.dummyfunction("""COMPUTED_VALUE"""),"Gajanan Uddhav Kokate")</f>
        <v>Gajanan Uddhav Kokate</v>
      </c>
      <c r="C303" s="2" t="str">
        <f aca="false">IFERROR(__xludf.dummyfunction("""COMPUTED_VALUE"""),"Men &amp; Machines")</f>
        <v>Men &amp; Machines</v>
      </c>
      <c r="D303" s="2" t="str">
        <f aca="false">IFERROR(__xludf.dummyfunction("""COMPUTED_VALUE"""),"Kanha")</f>
        <v>Kanha</v>
      </c>
      <c r="E303" s="16" t="n">
        <f aca="false">IFERROR(__xludf.dummyfunction("""COMPUTED_VALUE"""),43338)</f>
        <v>43338</v>
      </c>
      <c r="F303" s="9" t="n">
        <f aca="false">IFERROR(__xludf.dummyfunction("""COMPUTED_VALUE"""),17000)</f>
        <v>17000</v>
      </c>
      <c r="G303" s="2" t="n">
        <f aca="false">IFERROR(__xludf.dummyfunction("""COMPUTED_VALUE"""),30)</f>
        <v>30</v>
      </c>
      <c r="H303" s="2" t="n">
        <f aca="false">IFERROR(__xludf.dummyfunction("""COMPUTED_VALUE"""),30)</f>
        <v>30</v>
      </c>
      <c r="I303" s="9" t="n">
        <f aca="false">IFERROR(__xludf.dummyfunction("""COMPUTED_VALUE"""),204000)</f>
        <v>204000</v>
      </c>
      <c r="J303" s="9" t="n">
        <f aca="false">IFERROR(__xludf.dummyfunction("""COMPUTED_VALUE"""),95)</f>
        <v>95</v>
      </c>
      <c r="K303" s="9"/>
      <c r="L303" s="9" t="n">
        <f aca="false">IFERROR(__xludf.dummyfunction("""COMPUTED_VALUE"""),0)</f>
        <v>0</v>
      </c>
      <c r="M303" s="9"/>
    </row>
    <row r="304" customFormat="false" ht="15.75" hidden="false" customHeight="false" outlineLevel="0" collapsed="false">
      <c r="A304" s="2" t="str">
        <f aca="false">IFERROR(__xludf.dummyfunction("""COMPUTED_VALUE"""),"SHKJ/KAN/0978")</f>
        <v>SHKJ/KAN/0978</v>
      </c>
      <c r="B304" s="2" t="str">
        <f aca="false">IFERROR(__xludf.dummyfunction("""COMPUTED_VALUE"""),"P.Bharathiraja")</f>
        <v>P.Bharathiraja</v>
      </c>
      <c r="C304" s="2" t="str">
        <f aca="false">IFERROR(__xludf.dummyfunction("""COMPUTED_VALUE"""),"Civil")</f>
        <v>Civil</v>
      </c>
      <c r="D304" s="2" t="str">
        <f aca="false">IFERROR(__xludf.dummyfunction("""COMPUTED_VALUE"""),"Kanha")</f>
        <v>Kanha</v>
      </c>
      <c r="E304" s="16" t="n">
        <f aca="false">IFERROR(__xludf.dummyfunction("""COMPUTED_VALUE"""),43191)</f>
        <v>43191</v>
      </c>
      <c r="F304" s="9" t="n">
        <f aca="false">IFERROR(__xludf.dummyfunction("""COMPUTED_VALUE"""),20000)</f>
        <v>20000</v>
      </c>
      <c r="G304" s="2" t="n">
        <f aca="false">IFERROR(__xludf.dummyfunction("""COMPUTED_VALUE"""),30)</f>
        <v>30</v>
      </c>
      <c r="H304" s="2" t="n">
        <f aca="false">IFERROR(__xludf.dummyfunction("""COMPUTED_VALUE"""),30)</f>
        <v>30</v>
      </c>
      <c r="I304" s="9" t="n">
        <f aca="false">IFERROR(__xludf.dummyfunction("""COMPUTED_VALUE"""),240000)</f>
        <v>240000</v>
      </c>
      <c r="J304" s="9" t="n">
        <f aca="false">IFERROR(__xludf.dummyfunction("""COMPUTED_VALUE"""),95)</f>
        <v>95</v>
      </c>
      <c r="K304" s="9"/>
      <c r="L304" s="9" t="n">
        <f aca="false">IFERROR(__xludf.dummyfunction("""COMPUTED_VALUE"""),0)</f>
        <v>0</v>
      </c>
      <c r="M304" s="9"/>
    </row>
    <row r="305" customFormat="false" ht="15.75" hidden="false" customHeight="false" outlineLevel="0" collapsed="false">
      <c r="A305" s="2" t="str">
        <f aca="false">IFERROR(__xludf.dummyfunction("""COMPUTED_VALUE"""),"SHKJ/KAN/0892")</f>
        <v>SHKJ/KAN/0892</v>
      </c>
      <c r="B305" s="2" t="str">
        <f aca="false">IFERROR(__xludf.dummyfunction("""COMPUTED_VALUE"""),"Kaushalendra Kumar Prabhakar")</f>
        <v>Kaushalendra Kumar Prabhakar</v>
      </c>
      <c r="C305" s="2" t="str">
        <f aca="false">IFERROR(__xludf.dummyfunction("""COMPUTED_VALUE"""),"Civil")</f>
        <v>Civil</v>
      </c>
      <c r="D305" s="2" t="str">
        <f aca="false">IFERROR(__xludf.dummyfunction("""COMPUTED_VALUE"""),"Kanha")</f>
        <v>Kanha</v>
      </c>
      <c r="E305" s="16" t="n">
        <f aca="false">IFERROR(__xludf.dummyfunction("""COMPUTED_VALUE"""),43412)</f>
        <v>43412</v>
      </c>
      <c r="F305" s="9" t="n">
        <f aca="false">IFERROR(__xludf.dummyfunction("""COMPUTED_VALUE"""),15000)</f>
        <v>15000</v>
      </c>
      <c r="G305" s="2" t="n">
        <f aca="false">IFERROR(__xludf.dummyfunction("""COMPUTED_VALUE"""),30)</f>
        <v>30</v>
      </c>
      <c r="H305" s="2" t="n">
        <f aca="false">IFERROR(__xludf.dummyfunction("""COMPUTED_VALUE"""),30)</f>
        <v>30</v>
      </c>
      <c r="I305" s="9" t="n">
        <f aca="false">IFERROR(__xludf.dummyfunction("""COMPUTED_VALUE"""),180000)</f>
        <v>180000</v>
      </c>
      <c r="J305" s="9" t="n">
        <f aca="false">IFERROR(__xludf.dummyfunction("""COMPUTED_VALUE"""),115)</f>
        <v>115</v>
      </c>
      <c r="K305" s="9"/>
      <c r="L305" s="9" t="n">
        <f aca="false">IFERROR(__xludf.dummyfunction("""COMPUTED_VALUE"""),0)</f>
        <v>0</v>
      </c>
      <c r="M305" s="9"/>
    </row>
    <row r="306" customFormat="false" ht="15.75" hidden="false" customHeight="false" outlineLevel="0" collapsed="false">
      <c r="A306" s="2" t="str">
        <f aca="false">IFERROR(__xludf.dummyfunction("""COMPUTED_VALUE"""),"SHKJ/KAN/0895")</f>
        <v>SHKJ/KAN/0895</v>
      </c>
      <c r="B306" s="2" t="str">
        <f aca="false">IFERROR(__xludf.dummyfunction("""COMPUTED_VALUE"""),"SUSEETHARAN M")</f>
        <v>SUSEETHARAN M</v>
      </c>
      <c r="C306" s="2" t="str">
        <f aca="false">IFERROR(__xludf.dummyfunction("""COMPUTED_VALUE"""),"General Store")</f>
        <v>General Store</v>
      </c>
      <c r="D306" s="2" t="str">
        <f aca="false">IFERROR(__xludf.dummyfunction("""COMPUTED_VALUE"""),"Kanha")</f>
        <v>Kanha</v>
      </c>
      <c r="E306" s="16" t="n">
        <f aca="false">IFERROR(__xludf.dummyfunction("""COMPUTED_VALUE"""),43407)</f>
        <v>43407</v>
      </c>
      <c r="F306" s="9" t="n">
        <f aca="false">IFERROR(__xludf.dummyfunction("""COMPUTED_VALUE"""),15000)</f>
        <v>15000</v>
      </c>
      <c r="G306" s="2" t="n">
        <f aca="false">IFERROR(__xludf.dummyfunction("""COMPUTED_VALUE"""),30)</f>
        <v>30</v>
      </c>
      <c r="H306" s="2" t="n">
        <f aca="false">IFERROR(__xludf.dummyfunction("""COMPUTED_VALUE"""),30)</f>
        <v>30</v>
      </c>
      <c r="I306" s="9" t="n">
        <f aca="false">IFERROR(__xludf.dummyfunction("""COMPUTED_VALUE"""),180000)</f>
        <v>180000</v>
      </c>
      <c r="J306" s="9" t="n">
        <f aca="false">IFERROR(__xludf.dummyfunction("""COMPUTED_VALUE"""),95)</f>
        <v>95</v>
      </c>
      <c r="K306" s="9"/>
      <c r="L306" s="9" t="n">
        <f aca="false">IFERROR(__xludf.dummyfunction("""COMPUTED_VALUE"""),0)</f>
        <v>0</v>
      </c>
      <c r="M306" s="9"/>
    </row>
    <row r="307" customFormat="false" ht="15.75" hidden="false" customHeight="false" outlineLevel="0" collapsed="false">
      <c r="A307" s="2" t="str">
        <f aca="false">IFERROR(__xludf.dummyfunction("""COMPUTED_VALUE"""),"SHKJ/KAN/0926")</f>
        <v>SHKJ/KAN/0926</v>
      </c>
      <c r="B307" s="2" t="str">
        <f aca="false">IFERROR(__xludf.dummyfunction("""COMPUTED_VALUE"""),"Diptiranjan Biswal")</f>
        <v>Diptiranjan Biswal</v>
      </c>
      <c r="C307" s="2" t="str">
        <f aca="false">IFERROR(__xludf.dummyfunction("""COMPUTED_VALUE"""),"Civil")</f>
        <v>Civil</v>
      </c>
      <c r="D307" s="2" t="str">
        <f aca="false">IFERROR(__xludf.dummyfunction("""COMPUTED_VALUE"""),"Kanha")</f>
        <v>Kanha</v>
      </c>
      <c r="E307" s="16" t="n">
        <f aca="false">IFERROR(__xludf.dummyfunction("""COMPUTED_VALUE"""),43487)</f>
        <v>43487</v>
      </c>
      <c r="F307" s="9" t="n">
        <f aca="false">IFERROR(__xludf.dummyfunction("""COMPUTED_VALUE"""),22000)</f>
        <v>22000</v>
      </c>
      <c r="G307" s="2" t="n">
        <f aca="false">IFERROR(__xludf.dummyfunction("""COMPUTED_VALUE"""),30)</f>
        <v>30</v>
      </c>
      <c r="H307" s="2" t="n">
        <f aca="false">IFERROR(__xludf.dummyfunction("""COMPUTED_VALUE"""),30)</f>
        <v>30</v>
      </c>
      <c r="I307" s="9" t="n">
        <f aca="false">IFERROR(__xludf.dummyfunction("""COMPUTED_VALUE"""),264000)</f>
        <v>264000</v>
      </c>
      <c r="J307" s="9" t="n">
        <f aca="false">IFERROR(__xludf.dummyfunction("""COMPUTED_VALUE"""),191)</f>
        <v>191</v>
      </c>
      <c r="K307" s="9"/>
      <c r="L307" s="9" t="n">
        <f aca="false">IFERROR(__xludf.dummyfunction("""COMPUTED_VALUE"""),0)</f>
        <v>0</v>
      </c>
      <c r="M307" s="9"/>
    </row>
    <row r="308" customFormat="false" ht="15.75" hidden="false" customHeight="false" outlineLevel="0" collapsed="false">
      <c r="A308" s="2" t="str">
        <f aca="false">IFERROR(__xludf.dummyfunction("""COMPUTED_VALUE"""),"SHKJ/KAN/1077")</f>
        <v>SHKJ/KAN/1077</v>
      </c>
      <c r="B308" s="2" t="str">
        <f aca="false">IFERROR(__xludf.dummyfunction("""COMPUTED_VALUE"""),"kandala Bharthi Sriramya")</f>
        <v>kandala Bharthi Sriramya</v>
      </c>
      <c r="C308" s="2" t="str">
        <f aca="false">IFERROR(__xludf.dummyfunction("""COMPUTED_VALUE"""),"General Store")</f>
        <v>General Store</v>
      </c>
      <c r="D308" s="2" t="str">
        <f aca="false">IFERROR(__xludf.dummyfunction("""COMPUTED_VALUE"""),"Kanha")</f>
        <v>Kanha</v>
      </c>
      <c r="E308" s="16" t="n">
        <f aca="false">IFERROR(__xludf.dummyfunction("""COMPUTED_VALUE"""),43460)</f>
        <v>43460</v>
      </c>
      <c r="F308" s="9" t="n">
        <f aca="false">IFERROR(__xludf.dummyfunction("""COMPUTED_VALUE"""),8000)</f>
        <v>8000</v>
      </c>
      <c r="G308" s="2" t="n">
        <f aca="false">IFERROR(__xludf.dummyfunction("""COMPUTED_VALUE"""),30)</f>
        <v>30</v>
      </c>
      <c r="H308" s="2" t="n">
        <f aca="false">IFERROR(__xludf.dummyfunction("""COMPUTED_VALUE"""),30)</f>
        <v>30</v>
      </c>
      <c r="I308" s="9" t="n">
        <f aca="false">IFERROR(__xludf.dummyfunction("""COMPUTED_VALUE"""),96000)</f>
        <v>96000</v>
      </c>
      <c r="J308" s="9" t="n">
        <f aca="false">IFERROR(__xludf.dummyfunction("""COMPUTED_VALUE"""),95)</f>
        <v>95</v>
      </c>
      <c r="K308" s="9"/>
      <c r="L308" s="9" t="n">
        <f aca="false">IFERROR(__xludf.dummyfunction("""COMPUTED_VALUE"""),0)</f>
        <v>0</v>
      </c>
      <c r="M308" s="9"/>
    </row>
    <row r="309" customFormat="false" ht="15.75" hidden="false" customHeight="false" outlineLevel="0" collapsed="false">
      <c r="A309" s="2" t="str">
        <f aca="false">IFERROR(__xludf.dummyfunction("""COMPUTED_VALUE"""),"SMSF/KAN/0395")</f>
        <v>SMSF/KAN/0395</v>
      </c>
      <c r="B309" s="2" t="str">
        <f aca="false">IFERROR(__xludf.dummyfunction("""COMPUTED_VALUE"""),"R.Mohammed Shaker")</f>
        <v>R.Mohammed Shaker</v>
      </c>
      <c r="C309" s="2" t="str">
        <f aca="false">IFERROR(__xludf.dummyfunction("""COMPUTED_VALUE"""),"Civil")</f>
        <v>Civil</v>
      </c>
      <c r="D309" s="2" t="str">
        <f aca="false">IFERROR(__xludf.dummyfunction("""COMPUTED_VALUE"""),"Kanha")</f>
        <v>Kanha</v>
      </c>
      <c r="E309" s="16" t="n">
        <f aca="false">IFERROR(__xludf.dummyfunction("""COMPUTED_VALUE"""),43046)</f>
        <v>43046</v>
      </c>
      <c r="F309" s="9" t="n">
        <f aca="false">IFERROR(__xludf.dummyfunction("""COMPUTED_VALUE"""),17200)</f>
        <v>17200</v>
      </c>
      <c r="G309" s="2" t="n">
        <f aca="false">IFERROR(__xludf.dummyfunction("""COMPUTED_VALUE"""),30)</f>
        <v>30</v>
      </c>
      <c r="H309" s="2" t="n">
        <f aca="false">IFERROR(__xludf.dummyfunction("""COMPUTED_VALUE"""),30)</f>
        <v>30</v>
      </c>
      <c r="I309" s="9" t="n">
        <f aca="false">IFERROR(__xludf.dummyfunction("""COMPUTED_VALUE"""),206400)</f>
        <v>206400</v>
      </c>
      <c r="J309" s="9" t="n">
        <f aca="false">IFERROR(__xludf.dummyfunction("""COMPUTED_VALUE"""),63)</f>
        <v>63</v>
      </c>
      <c r="K309" s="9"/>
      <c r="L309" s="9" t="n">
        <f aca="false">IFERROR(__xludf.dummyfunction("""COMPUTED_VALUE"""),0)</f>
        <v>0</v>
      </c>
      <c r="M309" s="9"/>
    </row>
    <row r="310" customFormat="false" ht="15.75" hidden="false" customHeight="false" outlineLevel="0" collapsed="false">
      <c r="A310" s="2" t="str">
        <f aca="false">IFERROR(__xludf.dummyfunction("""COMPUTED_VALUE"""),"SMSF/KAN/0684")</f>
        <v>SMSF/KAN/0684</v>
      </c>
      <c r="B310" s="2" t="str">
        <f aca="false">IFERROR(__xludf.dummyfunction("""COMPUTED_VALUE"""),"Domala Pavan Kumar")</f>
        <v>Domala Pavan Kumar</v>
      </c>
      <c r="C310" s="2" t="str">
        <f aca="false">IFERROR(__xludf.dummyfunction("""COMPUTED_VALUE"""),"Civil")</f>
        <v>Civil</v>
      </c>
      <c r="D310" s="2" t="str">
        <f aca="false">IFERROR(__xludf.dummyfunction("""COMPUTED_VALUE"""),"Kanha")</f>
        <v>Kanha</v>
      </c>
      <c r="E310" s="16" t="n">
        <f aca="false">IFERROR(__xludf.dummyfunction("""COMPUTED_VALUE"""),42968)</f>
        <v>42968</v>
      </c>
      <c r="F310" s="9" t="n">
        <f aca="false">IFERROR(__xludf.dummyfunction("""COMPUTED_VALUE"""),37625)</f>
        <v>37625</v>
      </c>
      <c r="G310" s="2" t="n">
        <f aca="false">IFERROR(__xludf.dummyfunction("""COMPUTED_VALUE"""),30)</f>
        <v>30</v>
      </c>
      <c r="H310" s="2" t="n">
        <f aca="false">IFERROR(__xludf.dummyfunction("""COMPUTED_VALUE"""),30)</f>
        <v>30</v>
      </c>
      <c r="I310" s="9" t="n">
        <f aca="false">IFERROR(__xludf.dummyfunction("""COMPUTED_VALUE"""),451500)</f>
        <v>451500</v>
      </c>
      <c r="J310" s="9" t="n">
        <f aca="false">IFERROR(__xludf.dummyfunction("""COMPUTED_VALUE"""),95)</f>
        <v>95</v>
      </c>
      <c r="K310" s="9"/>
      <c r="L310" s="9" t="n">
        <f aca="false">IFERROR(__xludf.dummyfunction("""COMPUTED_VALUE"""),0)</f>
        <v>0</v>
      </c>
      <c r="M310" s="9"/>
    </row>
    <row r="311" customFormat="false" ht="15.75" hidden="false" customHeight="false" outlineLevel="0" collapsed="false">
      <c r="A311" s="2" t="str">
        <f aca="false">IFERROR(__xludf.dummyfunction("""COMPUTED_VALUE"""),"SHKJ/KAN/1076")</f>
        <v>SHKJ/KAN/1076</v>
      </c>
      <c r="B311" s="2" t="str">
        <f aca="false">IFERROR(__xludf.dummyfunction("""COMPUTED_VALUE"""),"G V G Charry")</f>
        <v>G V G Charry</v>
      </c>
      <c r="C311" s="2" t="str">
        <f aca="false">IFERROR(__xludf.dummyfunction("""COMPUTED_VALUE"""),"Accounts")</f>
        <v>Accounts</v>
      </c>
      <c r="D311" s="2" t="str">
        <f aca="false">IFERROR(__xludf.dummyfunction("""COMPUTED_VALUE"""),"Kanha")</f>
        <v>Kanha</v>
      </c>
      <c r="E311" s="16" t="n">
        <f aca="false">IFERROR(__xludf.dummyfunction("""COMPUTED_VALUE"""),43528)</f>
        <v>43528</v>
      </c>
      <c r="F311" s="9" t="n">
        <f aca="false">IFERROR(__xludf.dummyfunction("""COMPUTED_VALUE"""),35000)</f>
        <v>35000</v>
      </c>
      <c r="G311" s="2" t="n">
        <f aca="false">IFERROR(__xludf.dummyfunction("""COMPUTED_VALUE"""),30)</f>
        <v>30</v>
      </c>
      <c r="H311" s="2" t="n">
        <f aca="false">IFERROR(__xludf.dummyfunction("""COMPUTED_VALUE"""),30)</f>
        <v>30</v>
      </c>
      <c r="I311" s="9" t="n">
        <f aca="false">IFERROR(__xludf.dummyfunction("""COMPUTED_VALUE"""),420000)</f>
        <v>420000</v>
      </c>
      <c r="J311" s="9" t="n">
        <f aca="false">IFERROR(__xludf.dummyfunction("""COMPUTED_VALUE"""),210)</f>
        <v>210</v>
      </c>
      <c r="K311" s="9"/>
      <c r="L311" s="9" t="n">
        <f aca="false">IFERROR(__xludf.dummyfunction("""COMPUTED_VALUE"""),0)</f>
        <v>0</v>
      </c>
      <c r="M311" s="9"/>
    </row>
    <row r="312" customFormat="false" ht="15.75" hidden="false" customHeight="false" outlineLevel="0" collapsed="false">
      <c r="A312" s="2" t="str">
        <f aca="false">IFERROR(__xludf.dummyfunction("""COMPUTED_VALUE"""),"SHKJ/KAN/1057")</f>
        <v>SHKJ/KAN/1057</v>
      </c>
      <c r="B312" s="2" t="str">
        <f aca="false">IFERROR(__xludf.dummyfunction("""COMPUTED_VALUE"""),"Kriti Singh")</f>
        <v>Kriti Singh</v>
      </c>
      <c r="C312" s="2" t="str">
        <f aca="false">IFERROR(__xludf.dummyfunction("""COMPUTED_VALUE"""),"Contact Center")</f>
        <v>Contact Center</v>
      </c>
      <c r="D312" s="2" t="str">
        <f aca="false">IFERROR(__xludf.dummyfunction("""COMPUTED_VALUE"""),"Kanha")</f>
        <v>Kanha</v>
      </c>
      <c r="E312" s="16" t="n">
        <f aca="false">IFERROR(__xludf.dummyfunction("""COMPUTED_VALUE"""),43556)</f>
        <v>43556</v>
      </c>
      <c r="F312" s="9" t="n">
        <f aca="false">IFERROR(__xludf.dummyfunction("""COMPUTED_VALUE"""),21667)</f>
        <v>21667</v>
      </c>
      <c r="G312" s="2" t="n">
        <f aca="false">IFERROR(__xludf.dummyfunction("""COMPUTED_VALUE"""),30)</f>
        <v>30</v>
      </c>
      <c r="H312" s="2" t="n">
        <f aca="false">IFERROR(__xludf.dummyfunction("""COMPUTED_VALUE"""),30)</f>
        <v>30</v>
      </c>
      <c r="I312" s="9" t="n">
        <f aca="false">IFERROR(__xludf.dummyfunction("""COMPUTED_VALUE"""),260004)</f>
        <v>260004</v>
      </c>
      <c r="J312" s="9" t="n">
        <f aca="false">IFERROR(__xludf.dummyfunction("""COMPUTED_VALUE"""),263)</f>
        <v>263</v>
      </c>
      <c r="K312" s="9"/>
      <c r="L312" s="9" t="n">
        <f aca="false">IFERROR(__xludf.dummyfunction("""COMPUTED_VALUE"""),0)</f>
        <v>0</v>
      </c>
      <c r="M312" s="9"/>
    </row>
    <row r="313" customFormat="false" ht="15.75" hidden="false" customHeight="false" outlineLevel="0" collapsed="false">
      <c r="A313" s="2" t="str">
        <f aca="false">IFERROR(__xludf.dummyfunction("""COMPUTED_VALUE"""),"SMSF/KAN/1118")</f>
        <v>SMSF/KAN/1118</v>
      </c>
      <c r="B313" s="2" t="str">
        <f aca="false">IFERROR(__xludf.dummyfunction("""COMPUTED_VALUE"""),"Sarojini")</f>
        <v>Sarojini</v>
      </c>
      <c r="C313" s="2" t="str">
        <f aca="false">IFERROR(__xludf.dummyfunction("""COMPUTED_VALUE"""),"Contact Center")</f>
        <v>Contact Center</v>
      </c>
      <c r="D313" s="2" t="str">
        <f aca="false">IFERROR(__xludf.dummyfunction("""COMPUTED_VALUE"""),"Kanha")</f>
        <v>Kanha</v>
      </c>
      <c r="E313" s="16" t="n">
        <f aca="false">IFERROR(__xludf.dummyfunction("""COMPUTED_VALUE"""),43566)</f>
        <v>43566</v>
      </c>
      <c r="F313" s="9" t="n">
        <f aca="false">IFERROR(__xludf.dummyfunction("""COMPUTED_VALUE"""),18333)</f>
        <v>18333</v>
      </c>
      <c r="G313" s="2" t="n">
        <f aca="false">IFERROR(__xludf.dummyfunction("""COMPUTED_VALUE"""),30)</f>
        <v>30</v>
      </c>
      <c r="H313" s="2" t="n">
        <f aca="false">IFERROR(__xludf.dummyfunction("""COMPUTED_VALUE"""),30)</f>
        <v>30</v>
      </c>
      <c r="I313" s="9" t="n">
        <f aca="false">IFERROR(__xludf.dummyfunction("""COMPUTED_VALUE"""),219996)</f>
        <v>219996</v>
      </c>
      <c r="J313" s="9" t="n">
        <f aca="false">IFERROR(__xludf.dummyfunction("""COMPUTED_VALUE"""),0)</f>
        <v>0</v>
      </c>
      <c r="K313" s="9"/>
      <c r="L313" s="9" t="n">
        <f aca="false">IFERROR(__xludf.dummyfunction("""COMPUTED_VALUE"""),0)</f>
        <v>0</v>
      </c>
      <c r="M313" s="9"/>
    </row>
    <row r="314" customFormat="false" ht="15.75" hidden="false" customHeight="false" outlineLevel="0" collapsed="false">
      <c r="A314" s="2" t="str">
        <f aca="false">IFERROR(__xludf.dummyfunction("""COMPUTED_VALUE"""),"SHKJ/KAN/1078")</f>
        <v>SHKJ/KAN/1078</v>
      </c>
      <c r="B314" s="2" t="str">
        <f aca="false">IFERROR(__xludf.dummyfunction("""COMPUTED_VALUE"""),"Dilip Kumar Patel")</f>
        <v>Dilip Kumar Patel</v>
      </c>
      <c r="C314" s="2" t="str">
        <f aca="false">IFERROR(__xludf.dummyfunction("""COMPUTED_VALUE"""),"Civil")</f>
        <v>Civil</v>
      </c>
      <c r="D314" s="2" t="str">
        <f aca="false">IFERROR(__xludf.dummyfunction("""COMPUTED_VALUE"""),"Kanha")</f>
        <v>Kanha</v>
      </c>
      <c r="E314" s="16" t="n">
        <f aca="false">IFERROR(__xludf.dummyfunction("""COMPUTED_VALUE"""),43566)</f>
        <v>43566</v>
      </c>
      <c r="F314" s="9" t="n">
        <f aca="false">IFERROR(__xludf.dummyfunction("""COMPUTED_VALUE"""),32000)</f>
        <v>32000</v>
      </c>
      <c r="G314" s="2" t="n">
        <f aca="false">IFERROR(__xludf.dummyfunction("""COMPUTED_VALUE"""),30)</f>
        <v>30</v>
      </c>
      <c r="H314" s="2" t="n">
        <f aca="false">IFERROR(__xludf.dummyfunction("""COMPUTED_VALUE"""),30)</f>
        <v>30</v>
      </c>
      <c r="I314" s="9" t="n">
        <f aca="false">IFERROR(__xludf.dummyfunction("""COMPUTED_VALUE"""),384000)</f>
        <v>384000</v>
      </c>
      <c r="J314" s="9" t="n">
        <f aca="false">IFERROR(__xludf.dummyfunction("""COMPUTED_VALUE"""),317)</f>
        <v>317</v>
      </c>
      <c r="K314" s="9"/>
      <c r="L314" s="9" t="n">
        <f aca="false">IFERROR(__xludf.dummyfunction("""COMPUTED_VALUE"""),0)</f>
        <v>0</v>
      </c>
      <c r="M314" s="9"/>
    </row>
    <row r="315" customFormat="false" ht="15.75" hidden="false" customHeight="false" outlineLevel="0" collapsed="false">
      <c r="A315" s="2" t="str">
        <f aca="false">IFERROR(__xludf.dummyfunction("""COMPUTED_VALUE"""),"SMSF/KAN/0215")</f>
        <v>SMSF/KAN/0215</v>
      </c>
      <c r="B315" s="2" t="str">
        <f aca="false">IFERROR(__xludf.dummyfunction("""COMPUTED_VALUE"""),"THOPTE RAHUL BABAN")</f>
        <v>THOPTE RAHUL BABAN</v>
      </c>
      <c r="C315" s="2" t="str">
        <f aca="false">IFERROR(__xludf.dummyfunction("""COMPUTED_VALUE"""),"Civil")</f>
        <v>Civil</v>
      </c>
      <c r="D315" s="2" t="str">
        <f aca="false">IFERROR(__xludf.dummyfunction("""COMPUTED_VALUE"""),"Kanha")</f>
        <v>Kanha</v>
      </c>
      <c r="E315" s="16" t="n">
        <f aca="false">IFERROR(__xludf.dummyfunction("""COMPUTED_VALUE"""),42036)</f>
        <v>42036</v>
      </c>
      <c r="F315" s="9" t="n">
        <f aca="false">IFERROR(__xludf.dummyfunction("""COMPUTED_VALUE"""),110250)</f>
        <v>110250</v>
      </c>
      <c r="G315" s="2" t="n">
        <f aca="false">IFERROR(__xludf.dummyfunction("""COMPUTED_VALUE"""),30)</f>
        <v>30</v>
      </c>
      <c r="H315" s="2" t="n">
        <f aca="false">IFERROR(__xludf.dummyfunction("""COMPUTED_VALUE"""),30)</f>
        <v>30</v>
      </c>
      <c r="I315" s="9" t="n">
        <f aca="false">IFERROR(__xludf.dummyfunction("""COMPUTED_VALUE"""),1323000)</f>
        <v>1323000</v>
      </c>
      <c r="J315" s="9" t="n">
        <f aca="false">IFERROR(__xludf.dummyfunction("""COMPUTED_VALUE"""),336)</f>
        <v>336</v>
      </c>
      <c r="K315" s="9"/>
      <c r="L315" s="9" t="n">
        <f aca="false">IFERROR(__xludf.dummyfunction("""COMPUTED_VALUE"""),0)</f>
        <v>0</v>
      </c>
      <c r="M315" s="9"/>
    </row>
    <row r="316" customFormat="false" ht="15.75" hidden="false" customHeight="false" outlineLevel="0" collapsed="false">
      <c r="A316" s="2" t="str">
        <f aca="false">IFERROR(__xludf.dummyfunction("""COMPUTED_VALUE"""),"SMSF/KAN/0216")</f>
        <v>SMSF/KAN/0216</v>
      </c>
      <c r="B316" s="2" t="str">
        <f aca="false">IFERROR(__xludf.dummyfunction("""COMPUTED_VALUE"""),"MADHU THAMARALA")</f>
        <v>MADHU THAMARALA</v>
      </c>
      <c r="C316" s="2" t="str">
        <f aca="false">IFERROR(__xludf.dummyfunction("""COMPUTED_VALUE"""),"Civil")</f>
        <v>Civil</v>
      </c>
      <c r="D316" s="2" t="str">
        <f aca="false">IFERROR(__xludf.dummyfunction("""COMPUTED_VALUE"""),"Kanha")</f>
        <v>Kanha</v>
      </c>
      <c r="E316" s="16" t="n">
        <f aca="false">IFERROR(__xludf.dummyfunction("""COMPUTED_VALUE"""),42030)</f>
        <v>42030</v>
      </c>
      <c r="F316" s="9" t="n">
        <f aca="false">IFERROR(__xludf.dummyfunction("""COMPUTED_VALUE"""),25000)</f>
        <v>25000</v>
      </c>
      <c r="G316" s="2" t="n">
        <f aca="false">IFERROR(__xludf.dummyfunction("""COMPUTED_VALUE"""),30)</f>
        <v>30</v>
      </c>
      <c r="H316" s="2" t="n">
        <f aca="false">IFERROR(__xludf.dummyfunction("""COMPUTED_VALUE"""),30)</f>
        <v>30</v>
      </c>
      <c r="I316" s="9" t="n">
        <f aca="false">IFERROR(__xludf.dummyfunction("""COMPUTED_VALUE"""),300000)</f>
        <v>300000</v>
      </c>
      <c r="J316" s="9" t="n">
        <f aca="false">IFERROR(__xludf.dummyfunction("""COMPUTED_VALUE"""),254)</f>
        <v>254</v>
      </c>
      <c r="K316" s="9"/>
      <c r="L316" s="9" t="n">
        <f aca="false">IFERROR(__xludf.dummyfunction("""COMPUTED_VALUE"""),0)</f>
        <v>0</v>
      </c>
      <c r="M316" s="9"/>
    </row>
    <row r="317" customFormat="false" ht="15.75" hidden="false" customHeight="false" outlineLevel="0" collapsed="false">
      <c r="A317" s="2" t="str">
        <f aca="false">IFERROR(__xludf.dummyfunction("""COMPUTED_VALUE"""),"SMSF/KAN/0564")</f>
        <v>SMSF/KAN/0564</v>
      </c>
      <c r="B317" s="2" t="str">
        <f aca="false">IFERROR(__xludf.dummyfunction("""COMPUTED_VALUE"""),"MOHAMMED BASHA GANDLAPENTA")</f>
        <v>MOHAMMED BASHA GANDLAPENTA</v>
      </c>
      <c r="C317" s="2" t="str">
        <f aca="false">IFERROR(__xludf.dummyfunction("""COMPUTED_VALUE"""),"Civil")</f>
        <v>Civil</v>
      </c>
      <c r="D317" s="2" t="str">
        <f aca="false">IFERROR(__xludf.dummyfunction("""COMPUTED_VALUE"""),"Kanha")</f>
        <v>Kanha</v>
      </c>
      <c r="E317" s="16" t="n">
        <f aca="false">IFERROR(__xludf.dummyfunction("""COMPUTED_VALUE"""),42175)</f>
        <v>42175</v>
      </c>
      <c r="F317" s="9" t="n">
        <f aca="false">IFERROR(__xludf.dummyfunction("""COMPUTED_VALUE"""),30000)</f>
        <v>30000</v>
      </c>
      <c r="G317" s="2" t="n">
        <f aca="false">IFERROR(__xludf.dummyfunction("""COMPUTED_VALUE"""),30)</f>
        <v>30</v>
      </c>
      <c r="H317" s="2" t="n">
        <f aca="false">IFERROR(__xludf.dummyfunction("""COMPUTED_VALUE"""),30)</f>
        <v>30</v>
      </c>
      <c r="I317" s="9" t="n">
        <f aca="false">IFERROR(__xludf.dummyfunction("""COMPUTED_VALUE"""),360000)</f>
        <v>360000</v>
      </c>
      <c r="J317" s="9" t="n">
        <f aca="false">IFERROR(__xludf.dummyfunction("""COMPUTED_VALUE"""),221)</f>
        <v>221</v>
      </c>
      <c r="K317" s="9"/>
      <c r="L317" s="9" t="n">
        <f aca="false">IFERROR(__xludf.dummyfunction("""COMPUTED_VALUE"""),0)</f>
        <v>0</v>
      </c>
      <c r="M317" s="9"/>
    </row>
    <row r="318" customFormat="false" ht="15.75" hidden="false" customHeight="false" outlineLevel="0" collapsed="false">
      <c r="A318" s="2" t="str">
        <f aca="false">IFERROR(__xludf.dummyfunction("""COMPUTED_VALUE"""),"SMSF/KAN/0218")</f>
        <v>SMSF/KAN/0218</v>
      </c>
      <c r="B318" s="2" t="str">
        <f aca="false">IFERROR(__xludf.dummyfunction("""COMPUTED_VALUE"""),"RAVI KUMAR DABBIRU")</f>
        <v>RAVI KUMAR DABBIRU</v>
      </c>
      <c r="C318" s="2" t="str">
        <f aca="false">IFERROR(__xludf.dummyfunction("""COMPUTED_VALUE"""),"Civil")</f>
        <v>Civil</v>
      </c>
      <c r="D318" s="2" t="str">
        <f aca="false">IFERROR(__xludf.dummyfunction("""COMPUTED_VALUE"""),"Kanha")</f>
        <v>Kanha</v>
      </c>
      <c r="E318" s="16" t="n">
        <f aca="false">IFERROR(__xludf.dummyfunction("""COMPUTED_VALUE"""),42050)</f>
        <v>42050</v>
      </c>
      <c r="F318" s="9" t="n">
        <f aca="false">IFERROR(__xludf.dummyfunction("""COMPUTED_VALUE"""),27500)</f>
        <v>27500</v>
      </c>
      <c r="G318" s="2" t="n">
        <f aca="false">IFERROR(__xludf.dummyfunction("""COMPUTED_VALUE"""),30)</f>
        <v>30</v>
      </c>
      <c r="H318" s="2" t="n">
        <f aca="false">IFERROR(__xludf.dummyfunction("""COMPUTED_VALUE"""),30)</f>
        <v>30</v>
      </c>
      <c r="I318" s="9" t="n">
        <f aca="false">IFERROR(__xludf.dummyfunction("""COMPUTED_VALUE"""),330000)</f>
        <v>330000</v>
      </c>
      <c r="J318" s="9" t="n">
        <f aca="false">IFERROR(__xludf.dummyfunction("""COMPUTED_VALUE"""),63)</f>
        <v>63</v>
      </c>
      <c r="K318" s="9"/>
      <c r="L318" s="9" t="n">
        <f aca="false">IFERROR(__xludf.dummyfunction("""COMPUTED_VALUE"""),0)</f>
        <v>0</v>
      </c>
      <c r="M318" s="9"/>
    </row>
    <row r="319" customFormat="false" ht="15.75" hidden="false" customHeight="false" outlineLevel="0" collapsed="false">
      <c r="A319" s="2" t="str">
        <f aca="false">IFERROR(__xludf.dummyfunction("""COMPUTED_VALUE"""),"SMSF/KAN/0219")</f>
        <v>SMSF/KAN/0219</v>
      </c>
      <c r="B319" s="2" t="str">
        <f aca="false">IFERROR(__xludf.dummyfunction("""COMPUTED_VALUE"""),"A ARIVASAGAN")</f>
        <v>A ARIVASAGAN</v>
      </c>
      <c r="C319" s="2" t="str">
        <f aca="false">IFERROR(__xludf.dummyfunction("""COMPUTED_VALUE"""),"Civil")</f>
        <v>Civil</v>
      </c>
      <c r="D319" s="2" t="str">
        <f aca="false">IFERROR(__xludf.dummyfunction("""COMPUTED_VALUE"""),"Kanha")</f>
        <v>Kanha</v>
      </c>
      <c r="E319" s="16" t="n">
        <f aca="false">IFERROR(__xludf.dummyfunction("""COMPUTED_VALUE"""),42391)</f>
        <v>42391</v>
      </c>
      <c r="F319" s="9" t="n">
        <f aca="false">IFERROR(__xludf.dummyfunction("""COMPUTED_VALUE"""),30000)</f>
        <v>30000</v>
      </c>
      <c r="G319" s="2" t="n">
        <f aca="false">IFERROR(__xludf.dummyfunction("""COMPUTED_VALUE"""),30)</f>
        <v>30</v>
      </c>
      <c r="H319" s="2" t="n">
        <f aca="false">IFERROR(__xludf.dummyfunction("""COMPUTED_VALUE"""),30)</f>
        <v>30</v>
      </c>
      <c r="I319" s="9" t="n">
        <f aca="false">IFERROR(__xludf.dummyfunction("""COMPUTED_VALUE"""),360000)</f>
        <v>360000</v>
      </c>
      <c r="J319" s="9" t="n">
        <f aca="false">IFERROR(__xludf.dummyfunction("""COMPUTED_VALUE"""),95)</f>
        <v>95</v>
      </c>
      <c r="K319" s="9"/>
      <c r="L319" s="9" t="n">
        <f aca="false">IFERROR(__xludf.dummyfunction("""COMPUTED_VALUE"""),0)</f>
        <v>0</v>
      </c>
      <c r="M319" s="9"/>
    </row>
    <row r="320" customFormat="false" ht="15.75" hidden="false" customHeight="false" outlineLevel="0" collapsed="false">
      <c r="A320" s="2" t="str">
        <f aca="false">IFERROR(__xludf.dummyfunction("""COMPUTED_VALUE"""),"SMSF/KAN/0220")</f>
        <v>SMSF/KAN/0220</v>
      </c>
      <c r="B320" s="2" t="str">
        <f aca="false">IFERROR(__xludf.dummyfunction("""COMPUTED_VALUE"""),"GORLA RAMESH")</f>
        <v>GORLA RAMESH</v>
      </c>
      <c r="C320" s="2" t="str">
        <f aca="false">IFERROR(__xludf.dummyfunction("""COMPUTED_VALUE"""),"Civil QS")</f>
        <v>Civil QS</v>
      </c>
      <c r="D320" s="2" t="str">
        <f aca="false">IFERROR(__xludf.dummyfunction("""COMPUTED_VALUE"""),"Kanha")</f>
        <v>Kanha</v>
      </c>
      <c r="E320" s="16" t="n">
        <f aca="false">IFERROR(__xludf.dummyfunction("""COMPUTED_VALUE"""),42344)</f>
        <v>42344</v>
      </c>
      <c r="F320" s="9" t="n">
        <f aca="false">IFERROR(__xludf.dummyfunction("""COMPUTED_VALUE"""),42400)</f>
        <v>42400</v>
      </c>
      <c r="G320" s="2" t="n">
        <f aca="false">IFERROR(__xludf.dummyfunction("""COMPUTED_VALUE"""),30)</f>
        <v>30</v>
      </c>
      <c r="H320" s="2" t="n">
        <f aca="false">IFERROR(__xludf.dummyfunction("""COMPUTED_VALUE"""),30)</f>
        <v>30</v>
      </c>
      <c r="I320" s="9" t="n">
        <f aca="false">IFERROR(__xludf.dummyfunction("""COMPUTED_VALUE"""),508800)</f>
        <v>508800</v>
      </c>
      <c r="J320" s="9" t="n">
        <f aca="false">IFERROR(__xludf.dummyfunction("""COMPUTED_VALUE"""),252)</f>
        <v>252</v>
      </c>
      <c r="K320" s="9"/>
      <c r="L320" s="9" t="n">
        <f aca="false">IFERROR(__xludf.dummyfunction("""COMPUTED_VALUE"""),0)</f>
        <v>0</v>
      </c>
      <c r="M320" s="9"/>
    </row>
    <row r="321" customFormat="false" ht="15.75" hidden="false" customHeight="false" outlineLevel="0" collapsed="false">
      <c r="A321" s="2" t="str">
        <f aca="false">IFERROR(__xludf.dummyfunction("""COMPUTED_VALUE"""),"SMSF/KAN/0152")</f>
        <v>SMSF/KAN/0152</v>
      </c>
      <c r="B321" s="2" t="str">
        <f aca="false">IFERROR(__xludf.dummyfunction("""COMPUTED_VALUE"""),"Amit")</f>
        <v>Amit</v>
      </c>
      <c r="C321" s="2" t="str">
        <f aca="false">IFERROR(__xludf.dummyfunction("""COMPUTED_VALUE"""),"Civil")</f>
        <v>Civil</v>
      </c>
      <c r="D321" s="2" t="str">
        <f aca="false">IFERROR(__xludf.dummyfunction("""COMPUTED_VALUE"""),"Kanha")</f>
        <v>Kanha</v>
      </c>
      <c r="E321" s="16" t="n">
        <f aca="false">IFERROR(__xludf.dummyfunction("""COMPUTED_VALUE"""),42628)</f>
        <v>42628</v>
      </c>
      <c r="F321" s="9" t="n">
        <f aca="false">IFERROR(__xludf.dummyfunction("""COMPUTED_VALUE"""),93712)</f>
        <v>93712</v>
      </c>
      <c r="G321" s="2" t="n">
        <f aca="false">IFERROR(__xludf.dummyfunction("""COMPUTED_VALUE"""),30)</f>
        <v>30</v>
      </c>
      <c r="H321" s="2" t="n">
        <f aca="false">IFERROR(__xludf.dummyfunction("""COMPUTED_VALUE"""),30)</f>
        <v>30</v>
      </c>
      <c r="I321" s="9" t="n">
        <f aca="false">IFERROR(__xludf.dummyfunction("""COMPUTED_VALUE"""),1124544)</f>
        <v>1124544</v>
      </c>
      <c r="J321" s="9" t="n">
        <f aca="false">IFERROR(__xludf.dummyfunction("""COMPUTED_VALUE"""),254)</f>
        <v>254</v>
      </c>
      <c r="K321" s="9"/>
      <c r="L321" s="9" t="n">
        <f aca="false">IFERROR(__xludf.dummyfunction("""COMPUTED_VALUE"""),0)</f>
        <v>0</v>
      </c>
      <c r="M321" s="9"/>
    </row>
    <row r="322" customFormat="false" ht="15.75" hidden="false" customHeight="false" outlineLevel="0" collapsed="false">
      <c r="A322" s="2" t="str">
        <f aca="false">IFERROR(__xludf.dummyfunction("""COMPUTED_VALUE"""),"SMSF/KAN/0573")</f>
        <v>SMSF/KAN/0573</v>
      </c>
      <c r="B322" s="2" t="str">
        <f aca="false">IFERROR(__xludf.dummyfunction("""COMPUTED_VALUE"""),"VODDEY GANGADHAR")</f>
        <v>VODDEY GANGADHAR</v>
      </c>
      <c r="C322" s="2" t="str">
        <f aca="false">IFERROR(__xludf.dummyfunction("""COMPUTED_VALUE"""),"Civil")</f>
        <v>Civil</v>
      </c>
      <c r="D322" s="2" t="str">
        <f aca="false">IFERROR(__xludf.dummyfunction("""COMPUTED_VALUE"""),"Kanha")</f>
        <v>Kanha</v>
      </c>
      <c r="E322" s="16" t="n">
        <f aca="false">IFERROR(__xludf.dummyfunction("""COMPUTED_VALUE"""),42767)</f>
        <v>42767</v>
      </c>
      <c r="F322" s="9" t="n">
        <f aca="false">IFERROR(__xludf.dummyfunction("""COMPUTED_VALUE"""),33708)</f>
        <v>33708</v>
      </c>
      <c r="G322" s="2" t="n">
        <f aca="false">IFERROR(__xludf.dummyfunction("""COMPUTED_VALUE"""),30)</f>
        <v>30</v>
      </c>
      <c r="H322" s="2" t="n">
        <f aca="false">IFERROR(__xludf.dummyfunction("""COMPUTED_VALUE"""),30)</f>
        <v>30</v>
      </c>
      <c r="I322" s="9" t="n">
        <f aca="false">IFERROR(__xludf.dummyfunction("""COMPUTED_VALUE"""),452496)</f>
        <v>452496</v>
      </c>
      <c r="J322" s="9" t="n">
        <f aca="false">IFERROR(__xludf.dummyfunction("""COMPUTED_VALUE"""),345)</f>
        <v>345</v>
      </c>
      <c r="K322" s="9"/>
      <c r="L322" s="9" t="n">
        <f aca="false">IFERROR(__xludf.dummyfunction("""COMPUTED_VALUE"""),4000)</f>
        <v>4000</v>
      </c>
      <c r="M322" s="9"/>
    </row>
    <row r="323" customFormat="false" ht="15.75" hidden="false" customHeight="false" outlineLevel="0" collapsed="false">
      <c r="A323" s="2" t="str">
        <f aca="false">IFERROR(__xludf.dummyfunction("""COMPUTED_VALUE"""),"SMSF/KAN/0132")</f>
        <v>SMSF/KAN/0132</v>
      </c>
      <c r="B323" s="2" t="str">
        <f aca="false">IFERROR(__xludf.dummyfunction("""COMPUTED_VALUE"""),"K. CHANDRASHEKAR")</f>
        <v>K. CHANDRASHEKAR</v>
      </c>
      <c r="C323" s="2" t="str">
        <f aca="false">IFERROR(__xludf.dummyfunction("""COMPUTED_VALUE"""),"Civil")</f>
        <v>Civil</v>
      </c>
      <c r="D323" s="2" t="str">
        <f aca="false">IFERROR(__xludf.dummyfunction("""COMPUTED_VALUE"""),"Kanha")</f>
        <v>Kanha</v>
      </c>
      <c r="E323" s="16" t="n">
        <f aca="false">IFERROR(__xludf.dummyfunction("""COMPUTED_VALUE"""),42773)</f>
        <v>42773</v>
      </c>
      <c r="F323" s="9" t="n">
        <f aca="false">IFERROR(__xludf.dummyfunction("""COMPUTED_VALUE"""),33000)</f>
        <v>33000</v>
      </c>
      <c r="G323" s="2" t="n">
        <f aca="false">IFERROR(__xludf.dummyfunction("""COMPUTED_VALUE"""),30)</f>
        <v>30</v>
      </c>
      <c r="H323" s="2" t="n">
        <f aca="false">IFERROR(__xludf.dummyfunction("""COMPUTED_VALUE"""),30)</f>
        <v>30</v>
      </c>
      <c r="I323" s="9" t="n">
        <f aca="false">IFERROR(__xludf.dummyfunction("""COMPUTED_VALUE"""),396000)</f>
        <v>396000</v>
      </c>
      <c r="J323" s="9" t="n">
        <f aca="false">IFERROR(__xludf.dummyfunction("""COMPUTED_VALUE"""),158)</f>
        <v>158</v>
      </c>
      <c r="K323" s="9"/>
      <c r="L323" s="9" t="n">
        <f aca="false">IFERROR(__xludf.dummyfunction("""COMPUTED_VALUE"""),0)</f>
        <v>0</v>
      </c>
      <c r="M323" s="9"/>
    </row>
    <row r="324" customFormat="false" ht="15.75" hidden="false" customHeight="false" outlineLevel="0" collapsed="false">
      <c r="A324" s="2" t="str">
        <f aca="false">IFERROR(__xludf.dummyfunction("""COMPUTED_VALUE"""),"SMSF/KAN/0098")</f>
        <v>SMSF/KAN/0098</v>
      </c>
      <c r="B324" s="2" t="str">
        <f aca="false">IFERROR(__xludf.dummyfunction("""COMPUTED_VALUE"""),"UTKALESWAR NAIK")</f>
        <v>UTKALESWAR NAIK</v>
      </c>
      <c r="C324" s="2" t="str">
        <f aca="false">IFERROR(__xludf.dummyfunction("""COMPUTED_VALUE"""),"Civil")</f>
        <v>Civil</v>
      </c>
      <c r="D324" s="2" t="str">
        <f aca="false">IFERROR(__xludf.dummyfunction("""COMPUTED_VALUE"""),"Kanha")</f>
        <v>Kanha</v>
      </c>
      <c r="E324" s="16" t="n">
        <f aca="false">IFERROR(__xludf.dummyfunction("""COMPUTED_VALUE"""),42831)</f>
        <v>42831</v>
      </c>
      <c r="F324" s="9" t="n">
        <f aca="false">IFERROR(__xludf.dummyfunction("""COMPUTED_VALUE"""),36300)</f>
        <v>36300</v>
      </c>
      <c r="G324" s="2" t="n">
        <f aca="false">IFERROR(__xludf.dummyfunction("""COMPUTED_VALUE"""),30)</f>
        <v>30</v>
      </c>
      <c r="H324" s="2" t="n">
        <f aca="false">IFERROR(__xludf.dummyfunction("""COMPUTED_VALUE"""),30)</f>
        <v>30</v>
      </c>
      <c r="I324" s="9" t="n">
        <f aca="false">IFERROR(__xludf.dummyfunction("""COMPUTED_VALUE"""),435600)</f>
        <v>435600</v>
      </c>
      <c r="J324" s="9" t="n">
        <f aca="false">IFERROR(__xludf.dummyfunction("""COMPUTED_VALUE"""),191)</f>
        <v>191</v>
      </c>
      <c r="K324" s="9"/>
      <c r="L324" s="9" t="n">
        <f aca="false">IFERROR(__xludf.dummyfunction("""COMPUTED_VALUE"""),0)</f>
        <v>0</v>
      </c>
      <c r="M324" s="9"/>
    </row>
    <row r="325" customFormat="false" ht="15.75" hidden="false" customHeight="false" outlineLevel="0" collapsed="false">
      <c r="A325" s="2" t="str">
        <f aca="false">IFERROR(__xludf.dummyfunction("""COMPUTED_VALUE"""),"SMSF/KAN/0260")</f>
        <v>SMSF/KAN/0260</v>
      </c>
      <c r="B325" s="2" t="str">
        <f aca="false">IFERROR(__xludf.dummyfunction("""COMPUTED_VALUE"""),"Debakant Swain")</f>
        <v>Debakant Swain</v>
      </c>
      <c r="C325" s="2" t="str">
        <f aca="false">IFERROR(__xludf.dummyfunction("""COMPUTED_VALUE"""),"Civil")</f>
        <v>Civil</v>
      </c>
      <c r="D325" s="2" t="str">
        <f aca="false">IFERROR(__xludf.dummyfunction("""COMPUTED_VALUE"""),"Kanha")</f>
        <v>Kanha</v>
      </c>
      <c r="E325" s="16" t="n">
        <f aca="false">IFERROR(__xludf.dummyfunction("""COMPUTED_VALUE"""),42800)</f>
        <v>42800</v>
      </c>
      <c r="F325" s="9" t="n">
        <f aca="false">IFERROR(__xludf.dummyfunction("""COMPUTED_VALUE"""),28219)</f>
        <v>28219</v>
      </c>
      <c r="G325" s="2" t="n">
        <f aca="false">IFERROR(__xludf.dummyfunction("""COMPUTED_VALUE"""),30)</f>
        <v>30</v>
      </c>
      <c r="H325" s="2" t="n">
        <f aca="false">IFERROR(__xludf.dummyfunction("""COMPUTED_VALUE"""),30)</f>
        <v>30</v>
      </c>
      <c r="I325" s="9" t="n">
        <f aca="false">IFERROR(__xludf.dummyfunction("""COMPUTED_VALUE"""),338628)</f>
        <v>338628</v>
      </c>
      <c r="J325" s="9" t="n">
        <f aca="false">IFERROR(__xludf.dummyfunction("""COMPUTED_VALUE"""),254)</f>
        <v>254</v>
      </c>
      <c r="K325" s="9"/>
      <c r="L325" s="9" t="n">
        <f aca="false">IFERROR(__xludf.dummyfunction("""COMPUTED_VALUE"""),0)</f>
        <v>0</v>
      </c>
      <c r="M325" s="9"/>
    </row>
    <row r="326" customFormat="false" ht="15.75" hidden="false" customHeight="false" outlineLevel="0" collapsed="false">
      <c r="A326" s="2" t="str">
        <f aca="false">IFERROR(__xludf.dummyfunction("""COMPUTED_VALUE"""),"SMSF/KAN/0137")</f>
        <v>SMSF/KAN/0137</v>
      </c>
      <c r="B326" s="2" t="str">
        <f aca="false">IFERROR(__xludf.dummyfunction("""COMPUTED_VALUE"""),"Vimlesh Kumar Singh")</f>
        <v>Vimlesh Kumar Singh</v>
      </c>
      <c r="C326" s="2" t="str">
        <f aca="false">IFERROR(__xludf.dummyfunction("""COMPUTED_VALUE"""),"Civil")</f>
        <v>Civil</v>
      </c>
      <c r="D326" s="2" t="str">
        <f aca="false">IFERROR(__xludf.dummyfunction("""COMPUTED_VALUE"""),"Kanha")</f>
        <v>Kanha</v>
      </c>
      <c r="E326" s="16" t="n">
        <f aca="false">IFERROR(__xludf.dummyfunction("""COMPUTED_VALUE"""),42793)</f>
        <v>42793</v>
      </c>
      <c r="F326" s="9" t="n">
        <f aca="false">IFERROR(__xludf.dummyfunction("""COMPUTED_VALUE"""),19360)</f>
        <v>19360</v>
      </c>
      <c r="G326" s="2" t="n">
        <f aca="false">IFERROR(__xludf.dummyfunction("""COMPUTED_VALUE"""),30)</f>
        <v>30</v>
      </c>
      <c r="H326" s="2" t="n">
        <f aca="false">IFERROR(__xludf.dummyfunction("""COMPUTED_VALUE"""),30)</f>
        <v>30</v>
      </c>
      <c r="I326" s="9" t="n">
        <f aca="false">IFERROR(__xludf.dummyfunction("""COMPUTED_VALUE"""),232320)</f>
        <v>232320</v>
      </c>
      <c r="J326" s="9" t="n">
        <f aca="false">IFERROR(__xludf.dummyfunction("""COMPUTED_VALUE"""),317)</f>
        <v>317</v>
      </c>
      <c r="K326" s="9"/>
      <c r="L326" s="9" t="n">
        <f aca="false">IFERROR(__xludf.dummyfunction("""COMPUTED_VALUE"""),0)</f>
        <v>0</v>
      </c>
      <c r="M326" s="9"/>
    </row>
    <row r="327" customFormat="false" ht="15.75" hidden="false" customHeight="false" outlineLevel="0" collapsed="false">
      <c r="A327" s="2" t="str">
        <f aca="false">IFERROR(__xludf.dummyfunction("""COMPUTED_VALUE"""),"SMSF/KAN/0124")</f>
        <v>SMSF/KAN/0124</v>
      </c>
      <c r="B327" s="2" t="str">
        <f aca="false">IFERROR(__xludf.dummyfunction("""COMPUTED_VALUE"""),"Sameer Shivajirao sawant")</f>
        <v>Sameer Shivajirao sawant</v>
      </c>
      <c r="C327" s="2" t="str">
        <f aca="false">IFERROR(__xludf.dummyfunction("""COMPUTED_VALUE"""),"Tool Room")</f>
        <v>Tool Room</v>
      </c>
      <c r="D327" s="2" t="str">
        <f aca="false">IFERROR(__xludf.dummyfunction("""COMPUTED_VALUE"""),"Kanha")</f>
        <v>Kanha</v>
      </c>
      <c r="E327" s="16" t="n">
        <f aca="false">IFERROR(__xludf.dummyfunction("""COMPUTED_VALUE"""),42809)</f>
        <v>42809</v>
      </c>
      <c r="F327" s="9" t="n">
        <f aca="false">IFERROR(__xludf.dummyfunction("""COMPUTED_VALUE"""),23650)</f>
        <v>23650</v>
      </c>
      <c r="G327" s="2" t="n">
        <f aca="false">IFERROR(__xludf.dummyfunction("""COMPUTED_VALUE"""),30)</f>
        <v>30</v>
      </c>
      <c r="H327" s="2" t="n">
        <f aca="false">IFERROR(__xludf.dummyfunction("""COMPUTED_VALUE"""),30)</f>
        <v>30</v>
      </c>
      <c r="I327" s="9" t="n">
        <f aca="false">IFERROR(__xludf.dummyfunction("""COMPUTED_VALUE"""),283800)</f>
        <v>283800</v>
      </c>
      <c r="J327" s="9" t="n">
        <f aca="false">IFERROR(__xludf.dummyfunction("""COMPUTED_VALUE"""),95)</f>
        <v>95</v>
      </c>
      <c r="K327" s="9"/>
      <c r="L327" s="9" t="n">
        <f aca="false">IFERROR(__xludf.dummyfunction("""COMPUTED_VALUE"""),0)</f>
        <v>0</v>
      </c>
      <c r="M327" s="9" t="n">
        <f aca="false">IFERROR(__xludf.dummyfunction("""COMPUTED_VALUE"""),1500)</f>
        <v>1500</v>
      </c>
    </row>
    <row r="328" customFormat="false" ht="15.75" hidden="false" customHeight="false" outlineLevel="0" collapsed="false">
      <c r="A328" s="2" t="str">
        <f aca="false">IFERROR(__xludf.dummyfunction("""COMPUTED_VALUE"""),"SMSF/KAN/0153")</f>
        <v>SMSF/KAN/0153</v>
      </c>
      <c r="B328" s="2" t="str">
        <f aca="false">IFERROR(__xludf.dummyfunction("""COMPUTED_VALUE"""),"Jayasurya")</f>
        <v>Jayasurya</v>
      </c>
      <c r="C328" s="2" t="str">
        <f aca="false">IFERROR(__xludf.dummyfunction("""COMPUTED_VALUE"""),"HR")</f>
        <v>HR</v>
      </c>
      <c r="D328" s="2" t="str">
        <f aca="false">IFERROR(__xludf.dummyfunction("""COMPUTED_VALUE"""),"Kanha")</f>
        <v>Kanha</v>
      </c>
      <c r="E328" s="16" t="n">
        <f aca="false">IFERROR(__xludf.dummyfunction("""COMPUTED_VALUE"""),42618)</f>
        <v>42618</v>
      </c>
      <c r="F328" s="9" t="n">
        <f aca="false">IFERROR(__xludf.dummyfunction("""COMPUTED_VALUE"""),28875)</f>
        <v>28875</v>
      </c>
      <c r="G328" s="2" t="n">
        <f aca="false">IFERROR(__xludf.dummyfunction("""COMPUTED_VALUE"""),30)</f>
        <v>30</v>
      </c>
      <c r="H328" s="2" t="n">
        <f aca="false">IFERROR(__xludf.dummyfunction("""COMPUTED_VALUE"""),30)</f>
        <v>30</v>
      </c>
      <c r="I328" s="9" t="n">
        <f aca="false">IFERROR(__xludf.dummyfunction("""COMPUTED_VALUE"""),346500)</f>
        <v>346500</v>
      </c>
      <c r="J328" s="9" t="n">
        <f aca="false">IFERROR(__xludf.dummyfunction("""COMPUTED_VALUE"""),95)</f>
        <v>95</v>
      </c>
      <c r="K328" s="9"/>
      <c r="L328" s="9" t="n">
        <f aca="false">IFERROR(__xludf.dummyfunction("""COMPUTED_VALUE"""),0)</f>
        <v>0</v>
      </c>
      <c r="M328" s="9"/>
    </row>
    <row r="329" customFormat="false" ht="15.75" hidden="false" customHeight="false" outlineLevel="0" collapsed="false">
      <c r="A329" s="2" t="str">
        <f aca="false">IFERROR(__xludf.dummyfunction("""COMPUTED_VALUE"""),"SMSF/KAN/0654")</f>
        <v>SMSF/KAN/0654</v>
      </c>
      <c r="B329" s="2" t="str">
        <f aca="false">IFERROR(__xludf.dummyfunction("""COMPUTED_VALUE"""),"A BALASUBRAMANIAM")</f>
        <v>A BALASUBRAMANIAM</v>
      </c>
      <c r="C329" s="2" t="str">
        <f aca="false">IFERROR(__xludf.dummyfunction("""COMPUTED_VALUE"""),"Civil")</f>
        <v>Civil</v>
      </c>
      <c r="D329" s="2" t="str">
        <f aca="false">IFERROR(__xludf.dummyfunction("""COMPUTED_VALUE"""),"Kanha")</f>
        <v>Kanha</v>
      </c>
      <c r="E329" s="16" t="n">
        <f aca="false">IFERROR(__xludf.dummyfunction("""COMPUTED_VALUE"""),42856)</f>
        <v>42856</v>
      </c>
      <c r="F329" s="9" t="n">
        <f aca="false">IFERROR(__xludf.dummyfunction("""COMPUTED_VALUE"""),24200)</f>
        <v>24200</v>
      </c>
      <c r="G329" s="2" t="n">
        <f aca="false">IFERROR(__xludf.dummyfunction("""COMPUTED_VALUE"""),30)</f>
        <v>30</v>
      </c>
      <c r="H329" s="2" t="n">
        <f aca="false">IFERROR(__xludf.dummyfunction("""COMPUTED_VALUE"""),30)</f>
        <v>30</v>
      </c>
      <c r="I329" s="9" t="n">
        <f aca="false">IFERROR(__xludf.dummyfunction("""COMPUTED_VALUE"""),290400)</f>
        <v>290400</v>
      </c>
      <c r="J329" s="9" t="n">
        <f aca="false">IFERROR(__xludf.dummyfunction("""COMPUTED_VALUE"""),543)</f>
        <v>543</v>
      </c>
      <c r="K329" s="9"/>
      <c r="L329" s="9" t="n">
        <f aca="false">IFERROR(__xludf.dummyfunction("""COMPUTED_VALUE"""),0)</f>
        <v>0</v>
      </c>
      <c r="M329" s="9" t="n">
        <f aca="false">IFERROR(__xludf.dummyfunction("""COMPUTED_VALUE"""),1500)</f>
        <v>1500</v>
      </c>
    </row>
    <row r="330" customFormat="false" ht="15.75" hidden="false" customHeight="false" outlineLevel="0" collapsed="false">
      <c r="A330" s="2" t="str">
        <f aca="false">IFERROR(__xludf.dummyfunction("""COMPUTED_VALUE"""),"SMSF/KAN/0589")</f>
        <v>SMSF/KAN/0589</v>
      </c>
      <c r="B330" s="2" t="str">
        <f aca="false">IFERROR(__xludf.dummyfunction("""COMPUTED_VALUE"""),"MANJEET KUMAR MAURYA")</f>
        <v>MANJEET KUMAR MAURYA</v>
      </c>
      <c r="C330" s="2" t="str">
        <f aca="false">IFERROR(__xludf.dummyfunction("""COMPUTED_VALUE"""),"Civil")</f>
        <v>Civil</v>
      </c>
      <c r="D330" s="2" t="str">
        <f aca="false">IFERROR(__xludf.dummyfunction("""COMPUTED_VALUE"""),"Kanha")</f>
        <v>Kanha</v>
      </c>
      <c r="E330" s="16" t="n">
        <f aca="false">IFERROR(__xludf.dummyfunction("""COMPUTED_VALUE"""),42881)</f>
        <v>42881</v>
      </c>
      <c r="F330" s="9" t="n">
        <f aca="false">IFERROR(__xludf.dummyfunction("""COMPUTED_VALUE"""),23100)</f>
        <v>23100</v>
      </c>
      <c r="G330" s="2" t="n">
        <f aca="false">IFERROR(__xludf.dummyfunction("""COMPUTED_VALUE"""),30)</f>
        <v>30</v>
      </c>
      <c r="H330" s="2" t="n">
        <f aca="false">IFERROR(__xludf.dummyfunction("""COMPUTED_VALUE"""),30)</f>
        <v>30</v>
      </c>
      <c r="I330" s="9" t="n">
        <f aca="false">IFERROR(__xludf.dummyfunction("""COMPUTED_VALUE"""),277200)</f>
        <v>277200</v>
      </c>
      <c r="J330" s="9" t="n">
        <f aca="false">IFERROR(__xludf.dummyfunction("""COMPUTED_VALUE"""),158)</f>
        <v>158</v>
      </c>
      <c r="K330" s="9"/>
      <c r="L330" s="9" t="n">
        <f aca="false">IFERROR(__xludf.dummyfunction("""COMPUTED_VALUE"""),0)</f>
        <v>0</v>
      </c>
      <c r="M330" s="9"/>
    </row>
    <row r="331" customFormat="false" ht="15.75" hidden="false" customHeight="false" outlineLevel="0" collapsed="false">
      <c r="A331" s="2" t="str">
        <f aca="false">IFERROR(__xludf.dummyfunction("""COMPUTED_VALUE"""),"SMSF/KAN/0366")</f>
        <v>SMSF/KAN/0366</v>
      </c>
      <c r="B331" s="2" t="str">
        <f aca="false">IFERROR(__xludf.dummyfunction("""COMPUTED_VALUE"""),"Narayana Murthy D")</f>
        <v>Narayana Murthy D</v>
      </c>
      <c r="C331" s="2" t="str">
        <f aca="false">IFERROR(__xludf.dummyfunction("""COMPUTED_VALUE"""),"Civil")</f>
        <v>Civil</v>
      </c>
      <c r="D331" s="2" t="str">
        <f aca="false">IFERROR(__xludf.dummyfunction("""COMPUTED_VALUE"""),"Kanha")</f>
        <v>Kanha</v>
      </c>
      <c r="E331" s="16" t="n">
        <f aca="false">IFERROR(__xludf.dummyfunction("""COMPUTED_VALUE"""),43071)</f>
        <v>43071</v>
      </c>
      <c r="F331" s="9" t="n">
        <f aca="false">IFERROR(__xludf.dummyfunction("""COMPUTED_VALUE"""),18000)</f>
        <v>18000</v>
      </c>
      <c r="G331" s="2" t="n">
        <f aca="false">IFERROR(__xludf.dummyfunction("""COMPUTED_VALUE"""),30)</f>
        <v>30</v>
      </c>
      <c r="H331" s="2" t="n">
        <f aca="false">IFERROR(__xludf.dummyfunction("""COMPUTED_VALUE"""),30)</f>
        <v>30</v>
      </c>
      <c r="I331" s="9" t="n">
        <f aca="false">IFERROR(__xludf.dummyfunction("""COMPUTED_VALUE"""),216000)</f>
        <v>216000</v>
      </c>
      <c r="J331" s="9" t="n">
        <f aca="false">IFERROR(__xludf.dummyfunction("""COMPUTED_VALUE"""),63)</f>
        <v>63</v>
      </c>
      <c r="K331" s="9"/>
      <c r="L331" s="9" t="n">
        <f aca="false">IFERROR(__xludf.dummyfunction("""COMPUTED_VALUE"""),0)</f>
        <v>0</v>
      </c>
      <c r="M331" s="9"/>
    </row>
    <row r="332" customFormat="false" ht="15.75" hidden="false" customHeight="false" outlineLevel="0" collapsed="false">
      <c r="A332" s="2" t="str">
        <f aca="false">IFERROR(__xludf.dummyfunction("""COMPUTED_VALUE"""),"SHKJ/KAN/1119")</f>
        <v>SHKJ/KAN/1119</v>
      </c>
      <c r="B332" s="2" t="str">
        <f aca="false">IFERROR(__xludf.dummyfunction("""COMPUTED_VALUE"""),"Subash Adhikari")</f>
        <v>Subash Adhikari</v>
      </c>
      <c r="C332" s="2" t="str">
        <f aca="false">IFERROR(__xludf.dummyfunction("""COMPUTED_VALUE"""),"Civil")</f>
        <v>Civil</v>
      </c>
      <c r="D332" s="2" t="str">
        <f aca="false">IFERROR(__xludf.dummyfunction("""COMPUTED_VALUE"""),"Kanha")</f>
        <v>Kanha</v>
      </c>
      <c r="E332" s="16" t="n">
        <f aca="false">IFERROR(__xludf.dummyfunction("""COMPUTED_VALUE"""),43062)</f>
        <v>43062</v>
      </c>
      <c r="F332" s="9" t="n">
        <f aca="false">IFERROR(__xludf.dummyfunction("""COMPUTED_VALUE"""),29025)</f>
        <v>29025</v>
      </c>
      <c r="G332" s="2" t="n">
        <f aca="false">IFERROR(__xludf.dummyfunction("""COMPUTED_VALUE"""),30)</f>
        <v>30</v>
      </c>
      <c r="H332" s="2" t="n">
        <f aca="false">IFERROR(__xludf.dummyfunction("""COMPUTED_VALUE"""),30)</f>
        <v>30</v>
      </c>
      <c r="I332" s="9" t="n">
        <f aca="false">IFERROR(__xludf.dummyfunction("""COMPUTED_VALUE"""),348300)</f>
        <v>348300</v>
      </c>
      <c r="J332" s="9" t="n">
        <f aca="false">IFERROR(__xludf.dummyfunction("""COMPUTED_VALUE"""),158)</f>
        <v>158</v>
      </c>
      <c r="K332" s="9"/>
      <c r="L332" s="9" t="n">
        <f aca="false">IFERROR(__xludf.dummyfunction("""COMPUTED_VALUE"""),0)</f>
        <v>0</v>
      </c>
      <c r="M332" s="9"/>
    </row>
    <row r="333" customFormat="false" ht="15.75" hidden="false" customHeight="false" outlineLevel="0" collapsed="false">
      <c r="A333" s="2" t="str">
        <f aca="false">IFERROR(__xludf.dummyfunction("""COMPUTED_VALUE"""),"SMSF/KAN/0298")</f>
        <v>SMSF/KAN/0298</v>
      </c>
      <c r="B333" s="2" t="str">
        <f aca="false">IFERROR(__xludf.dummyfunction("""COMPUTED_VALUE"""),"Shaik Mohd Subhani")</f>
        <v>Shaik Mohd Subhani</v>
      </c>
      <c r="C333" s="2" t="str">
        <f aca="false">IFERROR(__xludf.dummyfunction("""COMPUTED_VALUE"""),"Civil")</f>
        <v>Civil</v>
      </c>
      <c r="D333" s="2" t="str">
        <f aca="false">IFERROR(__xludf.dummyfunction("""COMPUTED_VALUE"""),"Kanha")</f>
        <v>Kanha</v>
      </c>
      <c r="E333" s="16" t="n">
        <f aca="false">IFERROR(__xludf.dummyfunction("""COMPUTED_VALUE"""),43011)</f>
        <v>43011</v>
      </c>
      <c r="F333" s="9" t="n">
        <f aca="false">IFERROR(__xludf.dummyfunction("""COMPUTED_VALUE"""),34400)</f>
        <v>34400</v>
      </c>
      <c r="G333" s="2" t="n">
        <f aca="false">IFERROR(__xludf.dummyfunction("""COMPUTED_VALUE"""),30)</f>
        <v>30</v>
      </c>
      <c r="H333" s="2" t="n">
        <f aca="false">IFERROR(__xludf.dummyfunction("""COMPUTED_VALUE"""),30)</f>
        <v>30</v>
      </c>
      <c r="I333" s="9" t="n">
        <f aca="false">IFERROR(__xludf.dummyfunction("""COMPUTED_VALUE"""),412800)</f>
        <v>412800</v>
      </c>
      <c r="J333" s="9" t="n">
        <f aca="false">IFERROR(__xludf.dummyfunction("""COMPUTED_VALUE"""),317)</f>
        <v>317</v>
      </c>
      <c r="K333" s="9"/>
      <c r="L333" s="9" t="n">
        <f aca="false">IFERROR(__xludf.dummyfunction("""COMPUTED_VALUE"""),0)</f>
        <v>0</v>
      </c>
      <c r="M333" s="9"/>
    </row>
    <row r="334" customFormat="false" ht="15.75" hidden="false" customHeight="false" outlineLevel="0" collapsed="false">
      <c r="A334" s="2" t="str">
        <f aca="false">IFERROR(__xludf.dummyfunction("""COMPUTED_VALUE"""),"SMSF/KAN/0456")</f>
        <v>SMSF/KAN/0456</v>
      </c>
      <c r="B334" s="2" t="str">
        <f aca="false">IFERROR(__xludf.dummyfunction("""COMPUTED_VALUE"""),"Shravan. S")</f>
        <v>Shravan. S</v>
      </c>
      <c r="C334" s="2" t="str">
        <f aca="false">IFERROR(__xludf.dummyfunction("""COMPUTED_VALUE"""),"Civil")</f>
        <v>Civil</v>
      </c>
      <c r="D334" s="2" t="str">
        <f aca="false">IFERROR(__xludf.dummyfunction("""COMPUTED_VALUE"""),"Kanha")</f>
        <v>Kanha</v>
      </c>
      <c r="E334" s="16" t="n">
        <f aca="false">IFERROR(__xludf.dummyfunction("""COMPUTED_VALUE"""),43133)</f>
        <v>43133</v>
      </c>
      <c r="F334" s="9" t="n">
        <f aca="false">IFERROR(__xludf.dummyfunction("""COMPUTED_VALUE"""),15000)</f>
        <v>15000</v>
      </c>
      <c r="G334" s="2" t="n">
        <f aca="false">IFERROR(__xludf.dummyfunction("""COMPUTED_VALUE"""),30)</f>
        <v>30</v>
      </c>
      <c r="H334" s="2" t="n">
        <f aca="false">IFERROR(__xludf.dummyfunction("""COMPUTED_VALUE"""),30)</f>
        <v>30</v>
      </c>
      <c r="I334" s="9" t="n">
        <f aca="false">IFERROR(__xludf.dummyfunction("""COMPUTED_VALUE"""),180000)</f>
        <v>180000</v>
      </c>
      <c r="J334" s="9" t="n">
        <f aca="false">IFERROR(__xludf.dummyfunction("""COMPUTED_VALUE"""),63)</f>
        <v>63</v>
      </c>
      <c r="K334" s="9"/>
      <c r="L334" s="9" t="n">
        <f aca="false">IFERROR(__xludf.dummyfunction("""COMPUTED_VALUE"""),0)</f>
        <v>0</v>
      </c>
      <c r="M334" s="9"/>
    </row>
    <row r="335" customFormat="false" ht="15.75" hidden="false" customHeight="false" outlineLevel="0" collapsed="false">
      <c r="A335" s="2" t="str">
        <f aca="false">IFERROR(__xludf.dummyfunction("""COMPUTED_VALUE"""),"SMSF/KAN/0452")</f>
        <v>SMSF/KAN/0452</v>
      </c>
      <c r="B335" s="2" t="str">
        <f aca="false">IFERROR(__xludf.dummyfunction("""COMPUTED_VALUE"""),"Killampalli Vinodh Kumar")</f>
        <v>Killampalli Vinodh Kumar</v>
      </c>
      <c r="C335" s="2" t="str">
        <f aca="false">IFERROR(__xludf.dummyfunction("""COMPUTED_VALUE"""),"Civil")</f>
        <v>Civil</v>
      </c>
      <c r="D335" s="2" t="str">
        <f aca="false">IFERROR(__xludf.dummyfunction("""COMPUTED_VALUE"""),"Kanha")</f>
        <v>Kanha</v>
      </c>
      <c r="E335" s="16" t="n">
        <f aca="false">IFERROR(__xludf.dummyfunction("""COMPUTED_VALUE"""),43151)</f>
        <v>43151</v>
      </c>
      <c r="F335" s="9" t="n">
        <f aca="false">IFERROR(__xludf.dummyfunction("""COMPUTED_VALUE"""),14000)</f>
        <v>14000</v>
      </c>
      <c r="G335" s="2" t="n">
        <f aca="false">IFERROR(__xludf.dummyfunction("""COMPUTED_VALUE"""),30)</f>
        <v>30</v>
      </c>
      <c r="H335" s="2" t="n">
        <f aca="false">IFERROR(__xludf.dummyfunction("""COMPUTED_VALUE"""),30)</f>
        <v>30</v>
      </c>
      <c r="I335" s="9" t="n">
        <f aca="false">IFERROR(__xludf.dummyfunction("""COMPUTED_VALUE"""),168000)</f>
        <v>168000</v>
      </c>
      <c r="J335" s="9" t="n">
        <f aca="false">IFERROR(__xludf.dummyfunction("""COMPUTED_VALUE"""),63)</f>
        <v>63</v>
      </c>
      <c r="K335" s="9"/>
      <c r="L335" s="9" t="n">
        <f aca="false">IFERROR(__xludf.dummyfunction("""COMPUTED_VALUE"""),0)</f>
        <v>0</v>
      </c>
      <c r="M335" s="9"/>
    </row>
    <row r="336" customFormat="false" ht="15.75" hidden="false" customHeight="false" outlineLevel="0" collapsed="false">
      <c r="A336" s="2" t="str">
        <f aca="false">IFERROR(__xludf.dummyfunction("""COMPUTED_VALUE"""),"SMSF/KAN/0003")</f>
        <v>SMSF/KAN/0003</v>
      </c>
      <c r="B336" s="2" t="str">
        <f aca="false">IFERROR(__xludf.dummyfunction("""COMPUTED_VALUE"""),"AKKENA AJAY KUMAR")</f>
        <v>AKKENA AJAY KUMAR</v>
      </c>
      <c r="C336" s="2" t="str">
        <f aca="false">IFERROR(__xludf.dummyfunction("""COMPUTED_VALUE"""),"Civil")</f>
        <v>Civil</v>
      </c>
      <c r="D336" s="2" t="str">
        <f aca="false">IFERROR(__xludf.dummyfunction("""COMPUTED_VALUE"""),"Kanha")</f>
        <v>Kanha</v>
      </c>
      <c r="E336" s="16" t="n">
        <f aca="false">IFERROR(__xludf.dummyfunction("""COMPUTED_VALUE"""),42857)</f>
        <v>42857</v>
      </c>
      <c r="F336" s="9" t="n">
        <f aca="false">IFERROR(__xludf.dummyfunction("""COMPUTED_VALUE"""),19800)</f>
        <v>19800</v>
      </c>
      <c r="G336" s="2" t="n">
        <f aca="false">IFERROR(__xludf.dummyfunction("""COMPUTED_VALUE"""),30)</f>
        <v>30</v>
      </c>
      <c r="H336" s="2" t="n">
        <f aca="false">IFERROR(__xludf.dummyfunction("""COMPUTED_VALUE"""),30)</f>
        <v>30</v>
      </c>
      <c r="I336" s="9" t="n">
        <f aca="false">IFERROR(__xludf.dummyfunction("""COMPUTED_VALUE"""),237600)</f>
        <v>237600</v>
      </c>
      <c r="J336" s="9" t="n">
        <f aca="false">IFERROR(__xludf.dummyfunction("""COMPUTED_VALUE"""),63)</f>
        <v>63</v>
      </c>
      <c r="K336" s="9"/>
      <c r="L336" s="9" t="n">
        <f aca="false">IFERROR(__xludf.dummyfunction("""COMPUTED_VALUE"""),0)</f>
        <v>0</v>
      </c>
      <c r="M336" s="9"/>
    </row>
    <row r="337" customFormat="false" ht="15.75" hidden="false" customHeight="false" outlineLevel="0" collapsed="false">
      <c r="A337" s="2" t="str">
        <f aca="false">IFERROR(__xludf.dummyfunction("""COMPUTED_VALUE"""),"SMSF/KAN/0843")</f>
        <v>SMSF/KAN/0843</v>
      </c>
      <c r="B337" s="2" t="str">
        <f aca="false">IFERROR(__xludf.dummyfunction("""COMPUTED_VALUE"""),"Sachin Swamy")</f>
        <v>Sachin Swamy</v>
      </c>
      <c r="C337" s="2" t="str">
        <f aca="false">IFERROR(__xludf.dummyfunction("""COMPUTED_VALUE"""),"Civil")</f>
        <v>Civil</v>
      </c>
      <c r="D337" s="2" t="str">
        <f aca="false">IFERROR(__xludf.dummyfunction("""COMPUTED_VALUE"""),"Kanha")</f>
        <v>Kanha</v>
      </c>
      <c r="E337" s="16" t="n">
        <f aca="false">IFERROR(__xludf.dummyfunction("""COMPUTED_VALUE"""),43252)</f>
        <v>43252</v>
      </c>
      <c r="F337" s="9" t="n">
        <f aca="false">IFERROR(__xludf.dummyfunction("""COMPUTED_VALUE"""),15400)</f>
        <v>15400</v>
      </c>
      <c r="G337" s="2" t="n">
        <f aca="false">IFERROR(__xludf.dummyfunction("""COMPUTED_VALUE"""),30)</f>
        <v>30</v>
      </c>
      <c r="H337" s="2" t="n">
        <f aca="false">IFERROR(__xludf.dummyfunction("""COMPUTED_VALUE"""),30)</f>
        <v>30</v>
      </c>
      <c r="I337" s="9" t="n">
        <f aca="false">IFERROR(__xludf.dummyfunction("""COMPUTED_VALUE"""),184800)</f>
        <v>184800</v>
      </c>
      <c r="J337" s="9" t="n">
        <f aca="false">IFERROR(__xludf.dummyfunction("""COMPUTED_VALUE"""),63)</f>
        <v>63</v>
      </c>
      <c r="K337" s="9"/>
      <c r="L337" s="9" t="n">
        <f aca="false">IFERROR(__xludf.dummyfunction("""COMPUTED_VALUE"""),0)</f>
        <v>0</v>
      </c>
      <c r="M337" s="9"/>
    </row>
    <row r="338" customFormat="false" ht="15.75" hidden="false" customHeight="false" outlineLevel="0" collapsed="false">
      <c r="A338" s="2" t="str">
        <f aca="false">IFERROR(__xludf.dummyfunction("""COMPUTED_VALUE"""),"SMSF/KAN/0210")</f>
        <v>SMSF/KAN/0210</v>
      </c>
      <c r="B338" s="2" t="str">
        <f aca="false">IFERROR(__xludf.dummyfunction("""COMPUTED_VALUE"""),"JOGINAIDU")</f>
        <v>JOGINAIDU</v>
      </c>
      <c r="C338" s="2" t="str">
        <f aca="false">IFERROR(__xludf.dummyfunction("""COMPUTED_VALUE"""),"Civil")</f>
        <v>Civil</v>
      </c>
      <c r="D338" s="2" t="str">
        <f aca="false">IFERROR(__xludf.dummyfunction("""COMPUTED_VALUE"""),"Kanha")</f>
        <v>Kanha</v>
      </c>
      <c r="E338" s="16" t="n">
        <f aca="false">IFERROR(__xludf.dummyfunction("""COMPUTED_VALUE"""),42727)</f>
        <v>42727</v>
      </c>
      <c r="F338" s="9" t="n">
        <f aca="false">IFERROR(__xludf.dummyfunction("""COMPUTED_VALUE"""),17600)</f>
        <v>17600</v>
      </c>
      <c r="G338" s="2" t="n">
        <f aca="false">IFERROR(__xludf.dummyfunction("""COMPUTED_VALUE"""),30)</f>
        <v>30</v>
      </c>
      <c r="H338" s="2" t="n">
        <f aca="false">IFERROR(__xludf.dummyfunction("""COMPUTED_VALUE"""),30)</f>
        <v>30</v>
      </c>
      <c r="I338" s="9" t="n">
        <f aca="false">IFERROR(__xludf.dummyfunction("""COMPUTED_VALUE"""),211200)</f>
        <v>211200</v>
      </c>
      <c r="J338" s="9" t="n">
        <f aca="false">IFERROR(__xludf.dummyfunction("""COMPUTED_VALUE"""),63)</f>
        <v>63</v>
      </c>
      <c r="K338" s="9"/>
      <c r="L338" s="9" t="n">
        <f aca="false">IFERROR(__xludf.dummyfunction("""COMPUTED_VALUE"""),0)</f>
        <v>0</v>
      </c>
      <c r="M338" s="9"/>
    </row>
    <row r="339" customFormat="false" ht="15.75" hidden="false" customHeight="false" outlineLevel="0" collapsed="false">
      <c r="A339" s="2" t="str">
        <f aca="false">IFERROR(__xludf.dummyfunction("""COMPUTED_VALUE"""),"SMSF/KAN/0603")</f>
        <v>SMSF/KAN/0603</v>
      </c>
      <c r="B339" s="2" t="str">
        <f aca="false">IFERROR(__xludf.dummyfunction("""COMPUTED_VALUE"""),"Yerolla Srinu")</f>
        <v>Yerolla Srinu</v>
      </c>
      <c r="C339" s="2" t="str">
        <f aca="false">IFERROR(__xludf.dummyfunction("""COMPUTED_VALUE"""),"Civil")</f>
        <v>Civil</v>
      </c>
      <c r="D339" s="2" t="str">
        <f aca="false">IFERROR(__xludf.dummyfunction("""COMPUTED_VALUE"""),"Kanha")</f>
        <v>Kanha</v>
      </c>
      <c r="E339" s="16" t="n">
        <f aca="false">IFERROR(__xludf.dummyfunction("""COMPUTED_VALUE"""),43040)</f>
        <v>43040</v>
      </c>
      <c r="F339" s="9" t="n">
        <f aca="false">IFERROR(__xludf.dummyfunction("""COMPUTED_VALUE"""),9900)</f>
        <v>9900</v>
      </c>
      <c r="G339" s="2" t="n">
        <f aca="false">IFERROR(__xludf.dummyfunction("""COMPUTED_VALUE"""),30)</f>
        <v>30</v>
      </c>
      <c r="H339" s="2" t="n">
        <f aca="false">IFERROR(__xludf.dummyfunction("""COMPUTED_VALUE"""),30)</f>
        <v>30</v>
      </c>
      <c r="I339" s="9" t="n">
        <f aca="false">IFERROR(__xludf.dummyfunction("""COMPUTED_VALUE"""),118800)</f>
        <v>118800</v>
      </c>
      <c r="J339" s="9" t="n">
        <f aca="false">IFERROR(__xludf.dummyfunction("""COMPUTED_VALUE"""),317)</f>
        <v>317</v>
      </c>
      <c r="K339" s="9"/>
      <c r="L339" s="9" t="n">
        <f aca="false">IFERROR(__xludf.dummyfunction("""COMPUTED_VALUE"""),0)</f>
        <v>0</v>
      </c>
      <c r="M339" s="9"/>
    </row>
    <row r="340" customFormat="false" ht="15.75" hidden="false" customHeight="false" outlineLevel="0" collapsed="false">
      <c r="A340" s="2" t="str">
        <f aca="false">IFERROR(__xludf.dummyfunction("""COMPUTED_VALUE"""),"SMSF/KAN/0842")</f>
        <v>SMSF/KAN/0842</v>
      </c>
      <c r="B340" s="2" t="str">
        <f aca="false">IFERROR(__xludf.dummyfunction("""COMPUTED_VALUE"""),"Chandan Kumar")</f>
        <v>Chandan Kumar</v>
      </c>
      <c r="C340" s="2" t="str">
        <f aca="false">IFERROR(__xludf.dummyfunction("""COMPUTED_VALUE"""),"Civil")</f>
        <v>Civil</v>
      </c>
      <c r="D340" s="2" t="str">
        <f aca="false">IFERROR(__xludf.dummyfunction("""COMPUTED_VALUE"""),"Kanha")</f>
        <v>Kanha</v>
      </c>
      <c r="E340" s="16" t="n">
        <f aca="false">IFERROR(__xludf.dummyfunction("""COMPUTED_VALUE"""),43294)</f>
        <v>43294</v>
      </c>
      <c r="F340" s="9" t="n">
        <f aca="false">IFERROR(__xludf.dummyfunction("""COMPUTED_VALUE"""),14300)</f>
        <v>14300</v>
      </c>
      <c r="G340" s="2" t="n">
        <f aca="false">IFERROR(__xludf.dummyfunction("""COMPUTED_VALUE"""),30)</f>
        <v>30</v>
      </c>
      <c r="H340" s="2" t="n">
        <f aca="false">IFERROR(__xludf.dummyfunction("""COMPUTED_VALUE"""),30)</f>
        <v>30</v>
      </c>
      <c r="I340" s="9" t="n">
        <f aca="false">IFERROR(__xludf.dummyfunction("""COMPUTED_VALUE"""),171600)</f>
        <v>171600</v>
      </c>
      <c r="J340" s="9" t="n">
        <f aca="false">IFERROR(__xludf.dummyfunction("""COMPUTED_VALUE"""),63)</f>
        <v>63</v>
      </c>
      <c r="K340" s="9"/>
      <c r="L340" s="9" t="n">
        <f aca="false">IFERROR(__xludf.dummyfunction("""COMPUTED_VALUE"""),0)</f>
        <v>0</v>
      </c>
      <c r="M340" s="9"/>
    </row>
    <row r="341" customFormat="false" ht="15.75" hidden="false" customHeight="false" outlineLevel="0" collapsed="false">
      <c r="A341" s="2" t="str">
        <f aca="false">IFERROR(__xludf.dummyfunction("""COMPUTED_VALUE"""),"SMSF/KAN/0848")</f>
        <v>SMSF/KAN/0848</v>
      </c>
      <c r="B341" s="2" t="str">
        <f aca="false">IFERROR(__xludf.dummyfunction("""COMPUTED_VALUE"""),"S.Kishore")</f>
        <v>S.Kishore</v>
      </c>
      <c r="C341" s="2" t="str">
        <f aca="false">IFERROR(__xludf.dummyfunction("""COMPUTED_VALUE"""),"Civil")</f>
        <v>Civil</v>
      </c>
      <c r="D341" s="2" t="str">
        <f aca="false">IFERROR(__xludf.dummyfunction("""COMPUTED_VALUE"""),"Kanha")</f>
        <v>Kanha</v>
      </c>
      <c r="E341" s="16" t="n">
        <f aca="false">IFERROR(__xludf.dummyfunction("""COMPUTED_VALUE"""),43325)</f>
        <v>43325</v>
      </c>
      <c r="F341" s="9" t="n">
        <f aca="false">IFERROR(__xludf.dummyfunction("""COMPUTED_VALUE"""),14000)</f>
        <v>14000</v>
      </c>
      <c r="G341" s="2" t="n">
        <f aca="false">IFERROR(__xludf.dummyfunction("""COMPUTED_VALUE"""),30)</f>
        <v>30</v>
      </c>
      <c r="H341" s="2" t="n">
        <f aca="false">IFERROR(__xludf.dummyfunction("""COMPUTED_VALUE"""),30)</f>
        <v>30</v>
      </c>
      <c r="I341" s="9" t="n">
        <f aca="false">IFERROR(__xludf.dummyfunction("""COMPUTED_VALUE"""),168000)</f>
        <v>168000</v>
      </c>
      <c r="J341" s="9" t="n">
        <f aca="false">IFERROR(__xludf.dummyfunction("""COMPUTED_VALUE"""),63)</f>
        <v>63</v>
      </c>
      <c r="K341" s="9"/>
      <c r="L341" s="9" t="n">
        <f aca="false">IFERROR(__xludf.dummyfunction("""COMPUTED_VALUE"""),0)</f>
        <v>0</v>
      </c>
      <c r="M341" s="9"/>
    </row>
    <row r="342" customFormat="false" ht="15.75" hidden="false" customHeight="false" outlineLevel="0" collapsed="false">
      <c r="A342" s="2" t="str">
        <f aca="false">IFERROR(__xludf.dummyfunction("""COMPUTED_VALUE"""),"SMSF/KAN/0850")</f>
        <v>SMSF/KAN/0850</v>
      </c>
      <c r="B342" s="2" t="str">
        <f aca="false">IFERROR(__xludf.dummyfunction("""COMPUTED_VALUE"""),"Vignesh")</f>
        <v>Vignesh</v>
      </c>
      <c r="C342" s="2" t="str">
        <f aca="false">IFERROR(__xludf.dummyfunction("""COMPUTED_VALUE"""),"Civil")</f>
        <v>Civil</v>
      </c>
      <c r="D342" s="2" t="str">
        <f aca="false">IFERROR(__xludf.dummyfunction("""COMPUTED_VALUE"""),"Kanha")</f>
        <v>Kanha</v>
      </c>
      <c r="E342" s="16" t="n">
        <f aca="false">IFERROR(__xludf.dummyfunction("""COMPUTED_VALUE"""),43294)</f>
        <v>43294</v>
      </c>
      <c r="F342" s="9" t="n">
        <f aca="false">IFERROR(__xludf.dummyfunction("""COMPUTED_VALUE"""),12000)</f>
        <v>12000</v>
      </c>
      <c r="G342" s="2" t="n">
        <f aca="false">IFERROR(__xludf.dummyfunction("""COMPUTED_VALUE"""),30)</f>
        <v>30</v>
      </c>
      <c r="H342" s="2" t="n">
        <f aca="false">IFERROR(__xludf.dummyfunction("""COMPUTED_VALUE"""),30)</f>
        <v>30</v>
      </c>
      <c r="I342" s="9" t="n">
        <f aca="false">IFERROR(__xludf.dummyfunction("""COMPUTED_VALUE"""),144000)</f>
        <v>144000</v>
      </c>
      <c r="J342" s="9" t="n">
        <f aca="false">IFERROR(__xludf.dummyfunction("""COMPUTED_VALUE"""),63)</f>
        <v>63</v>
      </c>
      <c r="K342" s="9"/>
      <c r="L342" s="9" t="n">
        <f aca="false">IFERROR(__xludf.dummyfunction("""COMPUTED_VALUE"""),0)</f>
        <v>0</v>
      </c>
      <c r="M342" s="9"/>
    </row>
    <row r="343" customFormat="false" ht="15.75" hidden="false" customHeight="false" outlineLevel="0" collapsed="false">
      <c r="A343" s="2" t="str">
        <f aca="false">IFERROR(__xludf.dummyfunction("""COMPUTED_VALUE"""),"SMSF/KAN/0849")</f>
        <v>SMSF/KAN/0849</v>
      </c>
      <c r="B343" s="2" t="str">
        <f aca="false">IFERROR(__xludf.dummyfunction("""COMPUTED_VALUE"""),"Munendra Kumar")</f>
        <v>Munendra Kumar</v>
      </c>
      <c r="C343" s="2" t="str">
        <f aca="false">IFERROR(__xludf.dummyfunction("""COMPUTED_VALUE"""),"Civil")</f>
        <v>Civil</v>
      </c>
      <c r="D343" s="2" t="str">
        <f aca="false">IFERROR(__xludf.dummyfunction("""COMPUTED_VALUE"""),"Kanha")</f>
        <v>Kanha</v>
      </c>
      <c r="E343" s="16" t="n">
        <f aca="false">IFERROR(__xludf.dummyfunction("""COMPUTED_VALUE"""),43369)</f>
        <v>43369</v>
      </c>
      <c r="F343" s="9" t="n">
        <f aca="false">IFERROR(__xludf.dummyfunction("""COMPUTED_VALUE"""),17000)</f>
        <v>17000</v>
      </c>
      <c r="G343" s="2" t="n">
        <f aca="false">IFERROR(__xludf.dummyfunction("""COMPUTED_VALUE"""),30)</f>
        <v>30</v>
      </c>
      <c r="H343" s="2" t="n">
        <f aca="false">IFERROR(__xludf.dummyfunction("""COMPUTED_VALUE"""),30)</f>
        <v>30</v>
      </c>
      <c r="I343" s="9" t="n">
        <f aca="false">IFERROR(__xludf.dummyfunction("""COMPUTED_VALUE"""),204000)</f>
        <v>204000</v>
      </c>
      <c r="J343" s="9" t="n">
        <f aca="false">IFERROR(__xludf.dummyfunction("""COMPUTED_VALUE"""),408)</f>
        <v>408</v>
      </c>
      <c r="K343" s="9"/>
      <c r="L343" s="9" t="n">
        <f aca="false">IFERROR(__xludf.dummyfunction("""COMPUTED_VALUE"""),0)</f>
        <v>0</v>
      </c>
      <c r="M343" s="9"/>
    </row>
    <row r="344" customFormat="false" ht="15.75" hidden="false" customHeight="false" outlineLevel="0" collapsed="false">
      <c r="A344" s="2" t="str">
        <f aca="false">IFERROR(__xludf.dummyfunction("""COMPUTED_VALUE"""),"SMSF/KAN/0925")</f>
        <v>SMSF/KAN/0925</v>
      </c>
      <c r="B344" s="2" t="str">
        <f aca="false">IFERROR(__xludf.dummyfunction("""COMPUTED_VALUE"""),"Gaurav Singh")</f>
        <v>Gaurav Singh</v>
      </c>
      <c r="C344" s="2" t="str">
        <f aca="false">IFERROR(__xludf.dummyfunction("""COMPUTED_VALUE"""),"Civil")</f>
        <v>Civil</v>
      </c>
      <c r="D344" s="2" t="str">
        <f aca="false">IFERROR(__xludf.dummyfunction("""COMPUTED_VALUE"""),"Kanha")</f>
        <v>Kanha</v>
      </c>
      <c r="E344" s="16" t="n">
        <f aca="false">IFERROR(__xludf.dummyfunction("""COMPUTED_VALUE"""),43480)</f>
        <v>43480</v>
      </c>
      <c r="F344" s="9" t="n">
        <f aca="false">IFERROR(__xludf.dummyfunction("""COMPUTED_VALUE"""),20000)</f>
        <v>20000</v>
      </c>
      <c r="G344" s="2" t="n">
        <f aca="false">IFERROR(__xludf.dummyfunction("""COMPUTED_VALUE"""),30)</f>
        <v>30</v>
      </c>
      <c r="H344" s="2" t="n">
        <f aca="false">IFERROR(__xludf.dummyfunction("""COMPUTED_VALUE"""),30)</f>
        <v>30</v>
      </c>
      <c r="I344" s="9" t="n">
        <f aca="false">IFERROR(__xludf.dummyfunction("""COMPUTED_VALUE"""),240000)</f>
        <v>240000</v>
      </c>
      <c r="J344" s="9" t="n">
        <f aca="false">IFERROR(__xludf.dummyfunction("""COMPUTED_VALUE"""),63)</f>
        <v>63</v>
      </c>
      <c r="K344" s="9"/>
      <c r="L344" s="9" t="n">
        <f aca="false">IFERROR(__xludf.dummyfunction("""COMPUTED_VALUE"""),0)</f>
        <v>0</v>
      </c>
      <c r="M344" s="9"/>
    </row>
    <row r="345" customFormat="false" ht="15.75" hidden="false" customHeight="false" outlineLevel="0" collapsed="false">
      <c r="A345" s="2" t="str">
        <f aca="false">IFERROR(__xludf.dummyfunction("""COMPUTED_VALUE"""),"SMSF/KAN/1079")</f>
        <v>SMSF/KAN/1079</v>
      </c>
      <c r="B345" s="2" t="str">
        <f aca="false">IFERROR(__xludf.dummyfunction("""COMPUTED_VALUE"""),"Yakala Poli Raju")</f>
        <v>Yakala Poli Raju</v>
      </c>
      <c r="C345" s="2" t="str">
        <f aca="false">IFERROR(__xludf.dummyfunction("""COMPUTED_VALUE"""),"Civil")</f>
        <v>Civil</v>
      </c>
      <c r="D345" s="2" t="str">
        <f aca="false">IFERROR(__xludf.dummyfunction("""COMPUTED_VALUE"""),"Kanha")</f>
        <v>Kanha</v>
      </c>
      <c r="E345" s="16" t="n">
        <f aca="false">IFERROR(__xludf.dummyfunction("""COMPUTED_VALUE"""),43550)</f>
        <v>43550</v>
      </c>
      <c r="F345" s="9" t="n">
        <f aca="false">IFERROR(__xludf.dummyfunction("""COMPUTED_VALUE"""),16000)</f>
        <v>16000</v>
      </c>
      <c r="G345" s="2" t="n">
        <f aca="false">IFERROR(__xludf.dummyfunction("""COMPUTED_VALUE"""),30)</f>
        <v>30</v>
      </c>
      <c r="H345" s="2" t="n">
        <f aca="false">IFERROR(__xludf.dummyfunction("""COMPUTED_VALUE"""),30)</f>
        <v>30</v>
      </c>
      <c r="I345" s="9" t="n">
        <f aca="false">IFERROR(__xludf.dummyfunction("""COMPUTED_VALUE"""),192000)</f>
        <v>192000</v>
      </c>
      <c r="J345" s="9" t="n">
        <f aca="false">IFERROR(__xludf.dummyfunction("""COMPUTED_VALUE"""),95)</f>
        <v>95</v>
      </c>
      <c r="K345" s="9"/>
      <c r="L345" s="9" t="n">
        <f aca="false">IFERROR(__xludf.dummyfunction("""COMPUTED_VALUE"""),0)</f>
        <v>0</v>
      </c>
      <c r="M345" s="9"/>
    </row>
    <row r="346" customFormat="false" ht="15.75" hidden="false" customHeight="false" outlineLevel="0" collapsed="false">
      <c r="A346" s="2" t="str">
        <f aca="false">IFERROR(__xludf.dummyfunction("""COMPUTED_VALUE"""),"SHKJ/KAN/1204")</f>
        <v>SHKJ/KAN/1204</v>
      </c>
      <c r="B346" s="2" t="str">
        <f aca="false">IFERROR(__xludf.dummyfunction("""COMPUTED_VALUE"""),"Soman Dhanesh")</f>
        <v>Soman Dhanesh</v>
      </c>
      <c r="C346" s="2" t="str">
        <f aca="false">IFERROR(__xludf.dummyfunction("""COMPUTED_VALUE"""),"Brick plant")</f>
        <v>Brick plant</v>
      </c>
      <c r="D346" s="2" t="str">
        <f aca="false">IFERROR(__xludf.dummyfunction("""COMPUTED_VALUE"""),"Kanha")</f>
        <v>Kanha</v>
      </c>
      <c r="E346" s="16" t="n">
        <f aca="false">IFERROR(__xludf.dummyfunction("""COMPUTED_VALUE"""),43556)</f>
        <v>43556</v>
      </c>
      <c r="F346" s="9" t="n">
        <f aca="false">IFERROR(__xludf.dummyfunction("""COMPUTED_VALUE"""),18000)</f>
        <v>18000</v>
      </c>
      <c r="G346" s="2" t="n">
        <f aca="false">IFERROR(__xludf.dummyfunction("""COMPUTED_VALUE"""),30)</f>
        <v>30</v>
      </c>
      <c r="H346" s="2" t="n">
        <f aca="false">IFERROR(__xludf.dummyfunction("""COMPUTED_VALUE"""),30)</f>
        <v>30</v>
      </c>
      <c r="I346" s="9" t="n">
        <f aca="false">IFERROR(__xludf.dummyfunction("""COMPUTED_VALUE"""),216000)</f>
        <v>216000</v>
      </c>
      <c r="J346" s="9" t="n">
        <f aca="false">IFERROR(__xludf.dummyfunction("""COMPUTED_VALUE"""),95)</f>
        <v>95</v>
      </c>
      <c r="K346" s="9"/>
      <c r="L346" s="9" t="n">
        <f aca="false">IFERROR(__xludf.dummyfunction("""COMPUTED_VALUE"""),0)</f>
        <v>0</v>
      </c>
      <c r="M346" s="9"/>
    </row>
    <row r="347" customFormat="false" ht="15.75" hidden="false" customHeight="false" outlineLevel="0" collapsed="false">
      <c r="A347" s="2" t="str">
        <f aca="false">IFERROR(__xludf.dummyfunction("""COMPUTED_VALUE"""),"SHKJ/KAN/1087")</f>
        <v>SHKJ/KAN/1087</v>
      </c>
      <c r="B347" s="2" t="str">
        <f aca="false">IFERROR(__xludf.dummyfunction("""COMPUTED_VALUE"""),"Kanakavali Vijaya Lakshmi")</f>
        <v>Kanakavali Vijaya Lakshmi</v>
      </c>
      <c r="C347" s="2" t="str">
        <f aca="false">IFERROR(__xludf.dummyfunction("""COMPUTED_VALUE"""),"Contact Center")</f>
        <v>Contact Center</v>
      </c>
      <c r="D347" s="2" t="str">
        <f aca="false">IFERROR(__xludf.dummyfunction("""COMPUTED_VALUE"""),"Kanha")</f>
        <v>Kanha</v>
      </c>
      <c r="E347" s="16" t="n">
        <f aca="false">IFERROR(__xludf.dummyfunction("""COMPUTED_VALUE"""),43595)</f>
        <v>43595</v>
      </c>
      <c r="F347" s="9" t="n">
        <f aca="false">IFERROR(__xludf.dummyfunction("""COMPUTED_VALUE"""),15000)</f>
        <v>15000</v>
      </c>
      <c r="G347" s="2" t="n">
        <f aca="false">IFERROR(__xludf.dummyfunction("""COMPUTED_VALUE"""),30)</f>
        <v>30</v>
      </c>
      <c r="H347" s="2" t="n">
        <f aca="false">IFERROR(__xludf.dummyfunction("""COMPUTED_VALUE"""),30)</f>
        <v>30</v>
      </c>
      <c r="I347" s="9" t="n">
        <f aca="false">IFERROR(__xludf.dummyfunction("""COMPUTED_VALUE"""),180000)</f>
        <v>180000</v>
      </c>
      <c r="J347" s="9" t="n">
        <f aca="false">IFERROR(__xludf.dummyfunction("""COMPUTED_VALUE"""),95)</f>
        <v>95</v>
      </c>
      <c r="K347" s="9"/>
      <c r="L347" s="9" t="n">
        <f aca="false">IFERROR(__xludf.dummyfunction("""COMPUTED_VALUE"""),0)</f>
        <v>0</v>
      </c>
      <c r="M347" s="9"/>
    </row>
    <row r="348" customFormat="false" ht="15.75" hidden="false" customHeight="false" outlineLevel="0" collapsed="false">
      <c r="A348" s="2" t="str">
        <f aca="false">IFERROR(__xludf.dummyfunction("""COMPUTED_VALUE"""),"SHKJ/KAN/1127")</f>
        <v>SHKJ/KAN/1127</v>
      </c>
      <c r="B348" s="2" t="str">
        <f aca="false">IFERROR(__xludf.dummyfunction("""COMPUTED_VALUE"""),"Sudhesh Kumar")</f>
        <v>Sudhesh Kumar</v>
      </c>
      <c r="C348" s="2" t="str">
        <f aca="false">IFERROR(__xludf.dummyfunction("""COMPUTED_VALUE"""),"Accounts")</f>
        <v>Accounts</v>
      </c>
      <c r="D348" s="2" t="str">
        <f aca="false">IFERROR(__xludf.dummyfunction("""COMPUTED_VALUE"""),"Kanha")</f>
        <v>Kanha</v>
      </c>
      <c r="E348" s="16" t="n">
        <f aca="false">IFERROR(__xludf.dummyfunction("""COMPUTED_VALUE"""),43599)</f>
        <v>43599</v>
      </c>
      <c r="F348" s="9" t="n">
        <f aca="false">IFERROR(__xludf.dummyfunction("""COMPUTED_VALUE"""),10000)</f>
        <v>10000</v>
      </c>
      <c r="G348" s="2" t="n">
        <f aca="false">IFERROR(__xludf.dummyfunction("""COMPUTED_VALUE"""),30)</f>
        <v>30</v>
      </c>
      <c r="H348" s="2" t="n">
        <f aca="false">IFERROR(__xludf.dummyfunction("""COMPUTED_VALUE"""),30)</f>
        <v>30</v>
      </c>
      <c r="I348" s="9" t="n">
        <f aca="false">IFERROR(__xludf.dummyfunction("""COMPUTED_VALUE"""),120000)</f>
        <v>120000</v>
      </c>
      <c r="J348" s="9" t="n">
        <f aca="false">IFERROR(__xludf.dummyfunction("""COMPUTED_VALUE"""),63)</f>
        <v>63</v>
      </c>
      <c r="K348" s="9"/>
      <c r="L348" s="9" t="n">
        <f aca="false">IFERROR(__xludf.dummyfunction("""COMPUTED_VALUE"""),0)</f>
        <v>0</v>
      </c>
      <c r="M348" s="9"/>
    </row>
    <row r="349" customFormat="false" ht="15.75" hidden="false" customHeight="false" outlineLevel="0" collapsed="false">
      <c r="A349" s="2" t="str">
        <f aca="false">IFERROR(__xludf.dummyfunction("""COMPUTED_VALUE"""),"SHKJ/KAN/1323")</f>
        <v>SHKJ/KAN/1323</v>
      </c>
      <c r="B349" s="2" t="str">
        <f aca="false">IFERROR(__xludf.dummyfunction("""COMPUTED_VALUE"""),"Gugulothu Rajitha")</f>
        <v>Gugulothu Rajitha</v>
      </c>
      <c r="C349" s="2" t="str">
        <f aca="false">IFERROR(__xludf.dummyfunction("""COMPUTED_VALUE"""),"General Store")</f>
        <v>General Store</v>
      </c>
      <c r="D349" s="2" t="str">
        <f aca="false">IFERROR(__xludf.dummyfunction("""COMPUTED_VALUE"""),"Kanha")</f>
        <v>Kanha</v>
      </c>
      <c r="E349" s="16" t="n">
        <f aca="false">IFERROR(__xludf.dummyfunction("""COMPUTED_VALUE"""),43611)</f>
        <v>43611</v>
      </c>
      <c r="F349" s="9" t="n">
        <f aca="false">IFERROR(__xludf.dummyfunction("""COMPUTED_VALUE"""),10000)</f>
        <v>10000</v>
      </c>
      <c r="G349" s="2" t="n">
        <f aca="false">IFERROR(__xludf.dummyfunction("""COMPUTED_VALUE"""),30)</f>
        <v>30</v>
      </c>
      <c r="H349" s="2" t="n">
        <f aca="false">IFERROR(__xludf.dummyfunction("""COMPUTED_VALUE"""),30)</f>
        <v>30</v>
      </c>
      <c r="I349" s="9" t="n">
        <f aca="false">IFERROR(__xludf.dummyfunction("""COMPUTED_VALUE"""),120000)</f>
        <v>120000</v>
      </c>
      <c r="J349" s="9" t="n">
        <f aca="false">IFERROR(__xludf.dummyfunction("""COMPUTED_VALUE"""),0)</f>
        <v>0</v>
      </c>
      <c r="K349" s="9"/>
      <c r="L349" s="9" t="n">
        <f aca="false">IFERROR(__xludf.dummyfunction("""COMPUTED_VALUE"""),0)</f>
        <v>0</v>
      </c>
      <c r="M349" s="9"/>
    </row>
    <row r="350" customFormat="false" ht="15.75" hidden="false" customHeight="false" outlineLevel="0" collapsed="false">
      <c r="A350" s="2" t="str">
        <f aca="false">IFERROR(__xludf.dummyfunction("""COMPUTED_VALUE"""),"SHPT/KAN/0549")</f>
        <v>SHPT/KAN/0549</v>
      </c>
      <c r="B350" s="2" t="str">
        <f aca="false">IFERROR(__xludf.dummyfunction("""COMPUTED_VALUE"""),"Deepika .S.P")</f>
        <v>Deepika .S.P</v>
      </c>
      <c r="C350" s="2" t="str">
        <f aca="false">IFERROR(__xludf.dummyfunction("""COMPUTED_VALUE"""),"Design")</f>
        <v>Design</v>
      </c>
      <c r="D350" s="2" t="str">
        <f aca="false">IFERROR(__xludf.dummyfunction("""COMPUTED_VALUE"""),"Kanha")</f>
        <v>Kanha</v>
      </c>
      <c r="E350" s="16" t="n">
        <f aca="false">IFERROR(__xludf.dummyfunction("""COMPUTED_VALUE"""),42961)</f>
        <v>42961</v>
      </c>
      <c r="F350" s="9" t="n">
        <f aca="false">IFERROR(__xludf.dummyfunction("""COMPUTED_VALUE"""),51975)</f>
        <v>51975</v>
      </c>
      <c r="G350" s="2" t="n">
        <f aca="false">IFERROR(__xludf.dummyfunction("""COMPUTED_VALUE"""),30)</f>
        <v>30</v>
      </c>
      <c r="H350" s="2" t="n">
        <f aca="false">IFERROR(__xludf.dummyfunction("""COMPUTED_VALUE"""),30)</f>
        <v>30</v>
      </c>
      <c r="I350" s="9" t="n">
        <f aca="false">IFERROR(__xludf.dummyfunction("""COMPUTED_VALUE"""),623700)</f>
        <v>623700</v>
      </c>
      <c r="J350" s="9" t="n">
        <f aca="false">IFERROR(__xludf.dummyfunction("""COMPUTED_VALUE"""),167)</f>
        <v>167</v>
      </c>
      <c r="K350" s="9"/>
      <c r="L350" s="9" t="n">
        <f aca="false">IFERROR(__xludf.dummyfunction("""COMPUTED_VALUE"""),0)</f>
        <v>0</v>
      </c>
      <c r="M350" s="9"/>
    </row>
    <row r="351" customFormat="false" ht="15.75" hidden="false" customHeight="false" outlineLevel="0" collapsed="false">
      <c r="A351" s="2" t="str">
        <f aca="false">IFERROR(__xludf.dummyfunction("""COMPUTED_VALUE"""),"SMSF/KAN/0154")</f>
        <v>SMSF/KAN/0154</v>
      </c>
      <c r="B351" s="2" t="str">
        <f aca="false">IFERROR(__xludf.dummyfunction("""COMPUTED_VALUE"""),"Moulik")</f>
        <v>Moulik</v>
      </c>
      <c r="C351" s="2" t="str">
        <f aca="false">IFERROR(__xludf.dummyfunction("""COMPUTED_VALUE"""),"Tool Room")</f>
        <v>Tool Room</v>
      </c>
      <c r="D351" s="2" t="str">
        <f aca="false">IFERROR(__xludf.dummyfunction("""COMPUTED_VALUE"""),"Kanha")</f>
        <v>Kanha</v>
      </c>
      <c r="E351" s="16" t="n">
        <f aca="false">IFERROR(__xludf.dummyfunction("""COMPUTED_VALUE"""),42628)</f>
        <v>42628</v>
      </c>
      <c r="F351" s="9" t="n">
        <f aca="false">IFERROR(__xludf.dummyfunction("""COMPUTED_VALUE"""),107100)</f>
        <v>107100</v>
      </c>
      <c r="G351" s="2" t="n">
        <f aca="false">IFERROR(__xludf.dummyfunction("""COMPUTED_VALUE"""),30)</f>
        <v>30</v>
      </c>
      <c r="H351" s="2" t="n">
        <f aca="false">IFERROR(__xludf.dummyfunction("""COMPUTED_VALUE"""),30)</f>
        <v>30</v>
      </c>
      <c r="I351" s="9" t="n">
        <f aca="false">IFERROR(__xludf.dummyfunction("""COMPUTED_VALUE"""),1285200)</f>
        <v>1285200</v>
      </c>
      <c r="J351" s="9" t="n">
        <f aca="false">IFERROR(__xludf.dummyfunction("""COMPUTED_VALUE"""),273)</f>
        <v>273</v>
      </c>
      <c r="K351" s="9"/>
      <c r="L351" s="9" t="n">
        <f aca="false">IFERROR(__xludf.dummyfunction("""COMPUTED_VALUE"""),0)</f>
        <v>0</v>
      </c>
      <c r="M351" s="9"/>
    </row>
    <row r="352" customFormat="false" ht="15.75" hidden="false" customHeight="false" outlineLevel="0" collapsed="false">
      <c r="A352" s="2" t="str">
        <f aca="false">IFERROR(__xludf.dummyfunction("""COMPUTED_VALUE"""),"SMSF/KAN/0177")</f>
        <v>SMSF/KAN/0177</v>
      </c>
      <c r="B352" s="2" t="str">
        <f aca="false">IFERROR(__xludf.dummyfunction("""COMPUTED_VALUE"""),"JITENDRA")</f>
        <v>JITENDRA</v>
      </c>
      <c r="C352" s="2" t="str">
        <f aca="false">IFERROR(__xludf.dummyfunction("""COMPUTED_VALUE"""),"Tool Room")</f>
        <v>Tool Room</v>
      </c>
      <c r="D352" s="2" t="str">
        <f aca="false">IFERROR(__xludf.dummyfunction("""COMPUTED_VALUE"""),"Kanha")</f>
        <v>Kanha</v>
      </c>
      <c r="E352" s="16" t="n">
        <f aca="false">IFERROR(__xludf.dummyfunction("""COMPUTED_VALUE"""),42276)</f>
        <v>42276</v>
      </c>
      <c r="F352" s="9" t="n">
        <f aca="false">IFERROR(__xludf.dummyfunction("""COMPUTED_VALUE"""),15400)</f>
        <v>15400</v>
      </c>
      <c r="G352" s="2" t="n">
        <f aca="false">IFERROR(__xludf.dummyfunction("""COMPUTED_VALUE"""),30)</f>
        <v>30</v>
      </c>
      <c r="H352" s="2" t="n">
        <f aca="false">IFERROR(__xludf.dummyfunction("""COMPUTED_VALUE"""),30)</f>
        <v>30</v>
      </c>
      <c r="I352" s="9" t="n">
        <f aca="false">IFERROR(__xludf.dummyfunction("""COMPUTED_VALUE"""),184800)</f>
        <v>184800</v>
      </c>
      <c r="J352" s="9" t="n">
        <f aca="false">IFERROR(__xludf.dummyfunction("""COMPUTED_VALUE"""),285)</f>
        <v>285</v>
      </c>
      <c r="K352" s="9"/>
      <c r="L352" s="9" t="n">
        <f aca="false">IFERROR(__xludf.dummyfunction("""COMPUTED_VALUE"""),0)</f>
        <v>0</v>
      </c>
      <c r="M352" s="9"/>
    </row>
    <row r="353" customFormat="false" ht="15.75" hidden="false" customHeight="false" outlineLevel="0" collapsed="false">
      <c r="A353" s="2" t="str">
        <f aca="false">IFERROR(__xludf.dummyfunction("""COMPUTED_VALUE"""),"SMSF/KAN/0175")</f>
        <v>SMSF/KAN/0175</v>
      </c>
      <c r="B353" s="2" t="str">
        <f aca="false">IFERROR(__xludf.dummyfunction("""COMPUTED_VALUE"""),"MANGILAL")</f>
        <v>MANGILAL</v>
      </c>
      <c r="C353" s="2" t="str">
        <f aca="false">IFERROR(__xludf.dummyfunction("""COMPUTED_VALUE"""),"Tool Room")</f>
        <v>Tool Room</v>
      </c>
      <c r="D353" s="2" t="str">
        <f aca="false">IFERROR(__xludf.dummyfunction("""COMPUTED_VALUE"""),"Kanha")</f>
        <v>Kanha</v>
      </c>
      <c r="E353" s="16" t="n">
        <f aca="false">IFERROR(__xludf.dummyfunction("""COMPUTED_VALUE"""),42276)</f>
        <v>42276</v>
      </c>
      <c r="F353" s="9" t="n">
        <f aca="false">IFERROR(__xludf.dummyfunction("""COMPUTED_VALUE"""),15400)</f>
        <v>15400</v>
      </c>
      <c r="G353" s="2" t="n">
        <f aca="false">IFERROR(__xludf.dummyfunction("""COMPUTED_VALUE"""),30)</f>
        <v>30</v>
      </c>
      <c r="H353" s="2" t="n">
        <f aca="false">IFERROR(__xludf.dummyfunction("""COMPUTED_VALUE"""),30)</f>
        <v>30</v>
      </c>
      <c r="I353" s="9" t="n">
        <f aca="false">IFERROR(__xludf.dummyfunction("""COMPUTED_VALUE"""),184800)</f>
        <v>184800</v>
      </c>
      <c r="J353" s="9" t="n">
        <f aca="false">IFERROR(__xludf.dummyfunction("""COMPUTED_VALUE"""),115)</f>
        <v>115</v>
      </c>
      <c r="K353" s="9"/>
      <c r="L353" s="9" t="n">
        <f aca="false">IFERROR(__xludf.dummyfunction("""COMPUTED_VALUE"""),0)</f>
        <v>0</v>
      </c>
      <c r="M353" s="9"/>
    </row>
    <row r="354" customFormat="false" ht="15.75" hidden="false" customHeight="false" outlineLevel="0" collapsed="false">
      <c r="A354" s="2" t="str">
        <f aca="false">IFERROR(__xludf.dummyfunction("""COMPUTED_VALUE"""),"SMSF/KAN/0173")</f>
        <v>SMSF/KAN/0173</v>
      </c>
      <c r="B354" s="2" t="str">
        <f aca="false">IFERROR(__xludf.dummyfunction("""COMPUTED_VALUE"""),"SURESH K")</f>
        <v>SURESH K</v>
      </c>
      <c r="C354" s="2" t="str">
        <f aca="false">IFERROR(__xludf.dummyfunction("""COMPUTED_VALUE"""),"Tool Room")</f>
        <v>Tool Room</v>
      </c>
      <c r="D354" s="2" t="str">
        <f aca="false">IFERROR(__xludf.dummyfunction("""COMPUTED_VALUE"""),"Kanha")</f>
        <v>Kanha</v>
      </c>
      <c r="E354" s="16" t="n">
        <f aca="false">IFERROR(__xludf.dummyfunction("""COMPUTED_VALUE"""),42373)</f>
        <v>42373</v>
      </c>
      <c r="F354" s="9" t="n">
        <f aca="false">IFERROR(__xludf.dummyfunction("""COMPUTED_VALUE"""),15400)</f>
        <v>15400</v>
      </c>
      <c r="G354" s="2" t="n">
        <f aca="false">IFERROR(__xludf.dummyfunction("""COMPUTED_VALUE"""),30)</f>
        <v>30</v>
      </c>
      <c r="H354" s="2" t="n">
        <f aca="false">IFERROR(__xludf.dummyfunction("""COMPUTED_VALUE"""),30)</f>
        <v>30</v>
      </c>
      <c r="I354" s="9" t="n">
        <f aca="false">IFERROR(__xludf.dummyfunction("""COMPUTED_VALUE"""),184800)</f>
        <v>184800</v>
      </c>
      <c r="J354" s="9" t="n">
        <f aca="false">IFERROR(__xludf.dummyfunction("""COMPUTED_VALUE"""),95)</f>
        <v>95</v>
      </c>
      <c r="K354" s="9"/>
      <c r="L354" s="9" t="n">
        <f aca="false">IFERROR(__xludf.dummyfunction("""COMPUTED_VALUE"""),0)</f>
        <v>0</v>
      </c>
      <c r="M354" s="9"/>
    </row>
    <row r="355" customFormat="false" ht="15.75" hidden="false" customHeight="false" outlineLevel="0" collapsed="false">
      <c r="A355" s="2" t="str">
        <f aca="false">IFERROR(__xludf.dummyfunction("""COMPUTED_VALUE"""),"SMSF/KAN/0172")</f>
        <v>SMSF/KAN/0172</v>
      </c>
      <c r="B355" s="2" t="str">
        <f aca="false">IFERROR(__xludf.dummyfunction("""COMPUTED_VALUE"""),"DHARMENDRA C")</f>
        <v>DHARMENDRA C</v>
      </c>
      <c r="C355" s="2" t="str">
        <f aca="false">IFERROR(__xludf.dummyfunction("""COMPUTED_VALUE"""),"Tool Room")</f>
        <v>Tool Room</v>
      </c>
      <c r="D355" s="2" t="str">
        <f aca="false">IFERROR(__xludf.dummyfunction("""COMPUTED_VALUE"""),"Kanha")</f>
        <v>Kanha</v>
      </c>
      <c r="E355" s="16" t="n">
        <f aca="false">IFERROR(__xludf.dummyfunction("""COMPUTED_VALUE"""),42488)</f>
        <v>42488</v>
      </c>
      <c r="F355" s="9" t="n">
        <f aca="false">IFERROR(__xludf.dummyfunction("""COMPUTED_VALUE"""),15400)</f>
        <v>15400</v>
      </c>
      <c r="G355" s="2" t="n">
        <f aca="false">IFERROR(__xludf.dummyfunction("""COMPUTED_VALUE"""),30)</f>
        <v>30</v>
      </c>
      <c r="H355" s="2" t="n">
        <f aca="false">IFERROR(__xludf.dummyfunction("""COMPUTED_VALUE"""),30)</f>
        <v>30</v>
      </c>
      <c r="I355" s="9" t="n">
        <f aca="false">IFERROR(__xludf.dummyfunction("""COMPUTED_VALUE"""),184800)</f>
        <v>184800</v>
      </c>
      <c r="J355" s="9" t="n">
        <f aca="false">IFERROR(__xludf.dummyfunction("""COMPUTED_VALUE"""),95)</f>
        <v>95</v>
      </c>
      <c r="K355" s="9"/>
      <c r="L355" s="9" t="n">
        <f aca="false">IFERROR(__xludf.dummyfunction("""COMPUTED_VALUE"""),0)</f>
        <v>0</v>
      </c>
      <c r="M355" s="9"/>
    </row>
    <row r="356" customFormat="false" ht="15.75" hidden="false" customHeight="false" outlineLevel="0" collapsed="false">
      <c r="A356" s="2" t="str">
        <f aca="false">IFERROR(__xludf.dummyfunction("""COMPUTED_VALUE"""),"SMSF/KAN/0170")</f>
        <v>SMSF/KAN/0170</v>
      </c>
      <c r="B356" s="2" t="str">
        <f aca="false">IFERROR(__xludf.dummyfunction("""COMPUTED_VALUE"""),"RAVIKUMAR KODHIRIPAKA")</f>
        <v>RAVIKUMAR KODHIRIPAKA</v>
      </c>
      <c r="C356" s="2" t="str">
        <f aca="false">IFERROR(__xludf.dummyfunction("""COMPUTED_VALUE"""),"Tool Room")</f>
        <v>Tool Room</v>
      </c>
      <c r="D356" s="2" t="str">
        <f aca="false">IFERROR(__xludf.dummyfunction("""COMPUTED_VALUE"""),"Kanha")</f>
        <v>Kanha</v>
      </c>
      <c r="E356" s="16" t="n">
        <f aca="false">IFERROR(__xludf.dummyfunction("""COMPUTED_VALUE"""),42375)</f>
        <v>42375</v>
      </c>
      <c r="F356" s="9" t="n">
        <f aca="false">IFERROR(__xludf.dummyfunction("""COMPUTED_VALUE"""),16500)</f>
        <v>16500</v>
      </c>
      <c r="G356" s="2" t="n">
        <f aca="false">IFERROR(__xludf.dummyfunction("""COMPUTED_VALUE"""),30)</f>
        <v>30</v>
      </c>
      <c r="H356" s="2" t="n">
        <f aca="false">IFERROR(__xludf.dummyfunction("""COMPUTED_VALUE"""),30)</f>
        <v>30</v>
      </c>
      <c r="I356" s="9" t="n">
        <f aca="false">IFERROR(__xludf.dummyfunction("""COMPUTED_VALUE"""),198000)</f>
        <v>198000</v>
      </c>
      <c r="J356" s="9" t="n">
        <f aca="false">IFERROR(__xludf.dummyfunction("""COMPUTED_VALUE"""),273)</f>
        <v>273</v>
      </c>
      <c r="K356" s="9"/>
      <c r="L356" s="9" t="n">
        <f aca="false">IFERROR(__xludf.dummyfunction("""COMPUTED_VALUE"""),0)</f>
        <v>0</v>
      </c>
      <c r="M356" s="9"/>
    </row>
    <row r="357" customFormat="false" ht="15.75" hidden="false" customHeight="false" outlineLevel="0" collapsed="false">
      <c r="A357" s="2" t="str">
        <f aca="false">IFERROR(__xludf.dummyfunction("""COMPUTED_VALUE"""),"SMSF/KAN/0178")</f>
        <v>SMSF/KAN/0178</v>
      </c>
      <c r="B357" s="2" t="str">
        <f aca="false">IFERROR(__xludf.dummyfunction("""COMPUTED_VALUE"""),"Rajesh Pratap Singh")</f>
        <v>Rajesh Pratap Singh</v>
      </c>
      <c r="C357" s="2" t="str">
        <f aca="false">IFERROR(__xludf.dummyfunction("""COMPUTED_VALUE"""),"Tool Room")</f>
        <v>Tool Room</v>
      </c>
      <c r="D357" s="2" t="str">
        <f aca="false">IFERROR(__xludf.dummyfunction("""COMPUTED_VALUE"""),"Kanha")</f>
        <v>Kanha</v>
      </c>
      <c r="E357" s="16" t="n">
        <f aca="false">IFERROR(__xludf.dummyfunction("""COMPUTED_VALUE"""),42276)</f>
        <v>42276</v>
      </c>
      <c r="F357" s="9" t="n">
        <f aca="false">IFERROR(__xludf.dummyfunction("""COMPUTED_VALUE"""),30000)</f>
        <v>30000</v>
      </c>
      <c r="G357" s="2" t="n">
        <f aca="false">IFERROR(__xludf.dummyfunction("""COMPUTED_VALUE"""),30)</f>
        <v>30</v>
      </c>
      <c r="H357" s="2" t="n">
        <f aca="false">IFERROR(__xludf.dummyfunction("""COMPUTED_VALUE"""),30)</f>
        <v>30</v>
      </c>
      <c r="I357" s="9" t="n">
        <f aca="false">IFERROR(__xludf.dummyfunction("""COMPUTED_VALUE"""),360000)</f>
        <v>360000</v>
      </c>
      <c r="J357" s="9" t="n">
        <f aca="false">IFERROR(__xludf.dummyfunction("""COMPUTED_VALUE"""),664)</f>
        <v>664</v>
      </c>
      <c r="K357" s="9"/>
      <c r="L357" s="9" t="n">
        <f aca="false">IFERROR(__xludf.dummyfunction("""COMPUTED_VALUE"""),0)</f>
        <v>0</v>
      </c>
      <c r="M357" s="9"/>
    </row>
    <row r="358" customFormat="false" ht="15.75" hidden="false" customHeight="false" outlineLevel="0" collapsed="false">
      <c r="A358" s="2" t="str">
        <f aca="false">IFERROR(__xludf.dummyfunction("""COMPUTED_VALUE"""),"SMSF/KAN/0176")</f>
        <v>SMSF/KAN/0176</v>
      </c>
      <c r="B358" s="2" t="str">
        <f aca="false">IFERROR(__xludf.dummyfunction("""COMPUTED_VALUE"""),"BEKKAM ROHIT")</f>
        <v>BEKKAM ROHIT</v>
      </c>
      <c r="C358" s="2" t="str">
        <f aca="false">IFERROR(__xludf.dummyfunction("""COMPUTED_VALUE"""),"Tool Room")</f>
        <v>Tool Room</v>
      </c>
      <c r="D358" s="2" t="str">
        <f aca="false">IFERROR(__xludf.dummyfunction("""COMPUTED_VALUE"""),"Kanha")</f>
        <v>Kanha</v>
      </c>
      <c r="E358" s="16" t="n">
        <f aca="false">IFERROR(__xludf.dummyfunction("""COMPUTED_VALUE"""),43160)</f>
        <v>43160</v>
      </c>
      <c r="F358" s="9" t="n">
        <f aca="false">IFERROR(__xludf.dummyfunction("""COMPUTED_VALUE"""),15400)</f>
        <v>15400</v>
      </c>
      <c r="G358" s="2" t="n">
        <f aca="false">IFERROR(__xludf.dummyfunction("""COMPUTED_VALUE"""),30)</f>
        <v>30</v>
      </c>
      <c r="H358" s="2" t="n">
        <f aca="false">IFERROR(__xludf.dummyfunction("""COMPUTED_VALUE"""),30)</f>
        <v>30</v>
      </c>
      <c r="I358" s="9" t="n">
        <f aca="false">IFERROR(__xludf.dummyfunction("""COMPUTED_VALUE"""),184800)</f>
        <v>184800</v>
      </c>
      <c r="J358" s="9" t="n">
        <f aca="false">IFERROR(__xludf.dummyfunction("""COMPUTED_VALUE"""),95)</f>
        <v>95</v>
      </c>
      <c r="K358" s="9"/>
      <c r="L358" s="9" t="n">
        <f aca="false">IFERROR(__xludf.dummyfunction("""COMPUTED_VALUE"""),0)</f>
        <v>0</v>
      </c>
      <c r="M358" s="9"/>
    </row>
    <row r="359" customFormat="false" ht="15.75" hidden="false" customHeight="false" outlineLevel="0" collapsed="false">
      <c r="A359" s="2" t="str">
        <f aca="false">IFERROR(__xludf.dummyfunction("""COMPUTED_VALUE"""),"SMSF/KAN/0594")</f>
        <v>SMSF/KAN/0594</v>
      </c>
      <c r="B359" s="2" t="str">
        <f aca="false">IFERROR(__xludf.dummyfunction("""COMPUTED_VALUE"""),"Amit Kumar Singh Chauhan")</f>
        <v>Amit Kumar Singh Chauhan</v>
      </c>
      <c r="C359" s="2" t="str">
        <f aca="false">IFERROR(__xludf.dummyfunction("""COMPUTED_VALUE"""),"Tool Room")</f>
        <v>Tool Room</v>
      </c>
      <c r="D359" s="2" t="str">
        <f aca="false">IFERROR(__xludf.dummyfunction("""COMPUTED_VALUE"""),"Kanha")</f>
        <v>Kanha</v>
      </c>
      <c r="E359" s="16" t="n">
        <f aca="false">IFERROR(__xludf.dummyfunction("""COMPUTED_VALUE"""),42984)</f>
        <v>42984</v>
      </c>
      <c r="F359" s="9" t="n">
        <f aca="false">IFERROR(__xludf.dummyfunction("""COMPUTED_VALUE"""),15400)</f>
        <v>15400</v>
      </c>
      <c r="G359" s="2" t="n">
        <f aca="false">IFERROR(__xludf.dummyfunction("""COMPUTED_VALUE"""),30)</f>
        <v>30</v>
      </c>
      <c r="H359" s="2" t="n">
        <f aca="false">IFERROR(__xludf.dummyfunction("""COMPUTED_VALUE"""),30)</f>
        <v>30</v>
      </c>
      <c r="I359" s="9" t="n">
        <f aca="false">IFERROR(__xludf.dummyfunction("""COMPUTED_VALUE"""),184800)</f>
        <v>184800</v>
      </c>
      <c r="J359" s="9" t="n">
        <f aca="false">IFERROR(__xludf.dummyfunction("""COMPUTED_VALUE"""),63)</f>
        <v>63</v>
      </c>
      <c r="K359" s="9"/>
      <c r="L359" s="9" t="n">
        <f aca="false">IFERROR(__xludf.dummyfunction("""COMPUTED_VALUE"""),0)</f>
        <v>0</v>
      </c>
      <c r="M359" s="9"/>
    </row>
    <row r="360" customFormat="false" ht="15.75" hidden="false" customHeight="false" outlineLevel="0" collapsed="false">
      <c r="A360" s="2" t="str">
        <f aca="false">IFERROR(__xludf.dummyfunction("""COMPUTED_VALUE"""),"SRCM/BMA/0613")</f>
        <v>SRCM/BMA/0613</v>
      </c>
      <c r="B360" s="2" t="str">
        <f aca="false">IFERROR(__xludf.dummyfunction("""COMPUTED_VALUE"""),"KANARAM")</f>
        <v>KANARAM</v>
      </c>
      <c r="C360" s="2" t="str">
        <f aca="false">IFERROR(__xludf.dummyfunction("""COMPUTED_VALUE"""),"Tool Room")</f>
        <v>Tool Room</v>
      </c>
      <c r="D360" s="2" t="str">
        <f aca="false">IFERROR(__xludf.dummyfunction("""COMPUTED_VALUE"""),"Kanha")</f>
        <v>Kanha</v>
      </c>
      <c r="E360" s="16" t="n">
        <f aca="false">IFERROR(__xludf.dummyfunction("""COMPUTED_VALUE"""),39083)</f>
        <v>39083</v>
      </c>
      <c r="F360" s="9" t="n">
        <f aca="false">IFERROR(__xludf.dummyfunction("""COMPUTED_VALUE"""),16500)</f>
        <v>16500</v>
      </c>
      <c r="G360" s="2" t="n">
        <f aca="false">IFERROR(__xludf.dummyfunction("""COMPUTED_VALUE"""),30)</f>
        <v>30</v>
      </c>
      <c r="H360" s="2" t="n">
        <f aca="false">IFERROR(__xludf.dummyfunction("""COMPUTED_VALUE"""),30)</f>
        <v>30</v>
      </c>
      <c r="I360" s="9" t="n">
        <f aca="false">IFERROR(__xludf.dummyfunction("""COMPUTED_VALUE"""),198000)</f>
        <v>198000</v>
      </c>
      <c r="J360" s="9" t="n">
        <f aca="false">IFERROR(__xludf.dummyfunction("""COMPUTED_VALUE"""),356)</f>
        <v>356</v>
      </c>
      <c r="K360" s="9"/>
      <c r="L360" s="9" t="n">
        <f aca="false">IFERROR(__xludf.dummyfunction("""COMPUTED_VALUE"""),0)</f>
        <v>0</v>
      </c>
      <c r="M360" s="9"/>
    </row>
    <row r="361" customFormat="false" ht="15.75" hidden="false" customHeight="false" outlineLevel="0" collapsed="false">
      <c r="A361" s="2" t="str">
        <f aca="false">IFERROR(__xludf.dummyfunction("""COMPUTED_VALUE"""),"SMSF/KAN/0707")</f>
        <v>SMSF/KAN/0707</v>
      </c>
      <c r="B361" s="2" t="str">
        <f aca="false">IFERROR(__xludf.dummyfunction("""COMPUTED_VALUE"""),"Bablu Kumar Matho")</f>
        <v>Bablu Kumar Matho</v>
      </c>
      <c r="C361" s="2" t="str">
        <f aca="false">IFERROR(__xludf.dummyfunction("""COMPUTED_VALUE"""),"Tool Room")</f>
        <v>Tool Room</v>
      </c>
      <c r="D361" s="2" t="str">
        <f aca="false">IFERROR(__xludf.dummyfunction("""COMPUTED_VALUE"""),"Kanha")</f>
        <v>Kanha</v>
      </c>
      <c r="E361" s="16" t="n">
        <f aca="false">IFERROR(__xludf.dummyfunction("""COMPUTED_VALUE"""),43209)</f>
        <v>43209</v>
      </c>
      <c r="F361" s="9" t="n">
        <f aca="false">IFERROR(__xludf.dummyfunction("""COMPUTED_VALUE"""),13200)</f>
        <v>13200</v>
      </c>
      <c r="G361" s="2" t="n">
        <f aca="false">IFERROR(__xludf.dummyfunction("""COMPUTED_VALUE"""),30)</f>
        <v>30</v>
      </c>
      <c r="H361" s="2" t="n">
        <f aca="false">IFERROR(__xludf.dummyfunction("""COMPUTED_VALUE"""),30)</f>
        <v>30</v>
      </c>
      <c r="I361" s="9" t="n">
        <f aca="false">IFERROR(__xludf.dummyfunction("""COMPUTED_VALUE"""),158400)</f>
        <v>158400</v>
      </c>
      <c r="J361" s="9" t="n">
        <f aca="false">IFERROR(__xludf.dummyfunction("""COMPUTED_VALUE"""),221)</f>
        <v>221</v>
      </c>
      <c r="K361" s="9"/>
      <c r="L361" s="9" t="n">
        <f aca="false">IFERROR(__xludf.dummyfunction("""COMPUTED_VALUE"""),0)</f>
        <v>0</v>
      </c>
      <c r="M361" s="9"/>
    </row>
    <row r="362" customFormat="false" ht="15.75" hidden="false" customHeight="false" outlineLevel="0" collapsed="false">
      <c r="A362" s="2" t="str">
        <f aca="false">IFERROR(__xludf.dummyfunction("""COMPUTED_VALUE"""),"SMSF/KAN/0791")</f>
        <v>SMSF/KAN/0791</v>
      </c>
      <c r="B362" s="2" t="str">
        <f aca="false">IFERROR(__xludf.dummyfunction("""COMPUTED_VALUE"""),"Pathri Muni Maheswaraiah")</f>
        <v>Pathri Muni Maheswaraiah</v>
      </c>
      <c r="C362" s="2" t="str">
        <f aca="false">IFERROR(__xludf.dummyfunction("""COMPUTED_VALUE"""),"Tool Room")</f>
        <v>Tool Room</v>
      </c>
      <c r="D362" s="2" t="str">
        <f aca="false">IFERROR(__xludf.dummyfunction("""COMPUTED_VALUE"""),"Kanha")</f>
        <v>Kanha</v>
      </c>
      <c r="E362" s="16" t="n">
        <f aca="false">IFERROR(__xludf.dummyfunction("""COMPUTED_VALUE"""),43314)</f>
        <v>43314</v>
      </c>
      <c r="F362" s="9" t="n">
        <f aca="false">IFERROR(__xludf.dummyfunction("""COMPUTED_VALUE"""),15400)</f>
        <v>15400</v>
      </c>
      <c r="G362" s="2" t="n">
        <f aca="false">IFERROR(__xludf.dummyfunction("""COMPUTED_VALUE"""),30)</f>
        <v>30</v>
      </c>
      <c r="H362" s="2" t="n">
        <f aca="false">IFERROR(__xludf.dummyfunction("""COMPUTED_VALUE"""),30)</f>
        <v>30</v>
      </c>
      <c r="I362" s="9" t="n">
        <f aca="false">IFERROR(__xludf.dummyfunction("""COMPUTED_VALUE"""),184800)</f>
        <v>184800</v>
      </c>
      <c r="J362" s="9" t="n">
        <f aca="false">IFERROR(__xludf.dummyfunction("""COMPUTED_VALUE"""),389)</f>
        <v>389</v>
      </c>
      <c r="K362" s="9"/>
      <c r="L362" s="9" t="n">
        <f aca="false">IFERROR(__xludf.dummyfunction("""COMPUTED_VALUE"""),0)</f>
        <v>0</v>
      </c>
      <c r="M362" s="9"/>
    </row>
    <row r="363" customFormat="false" ht="15.75" hidden="false" customHeight="false" outlineLevel="0" collapsed="false">
      <c r="A363" s="2" t="str">
        <f aca="false">IFERROR(__xludf.dummyfunction("""COMPUTED_VALUE"""),"SMSF/KAN/0888")</f>
        <v>SMSF/KAN/0888</v>
      </c>
      <c r="B363" s="2" t="str">
        <f aca="false">IFERROR(__xludf.dummyfunction("""COMPUTED_VALUE"""),"Pathri Vamsi krishna")</f>
        <v>Pathri Vamsi krishna</v>
      </c>
      <c r="C363" s="2" t="str">
        <f aca="false">IFERROR(__xludf.dummyfunction("""COMPUTED_VALUE"""),"Tool Room")</f>
        <v>Tool Room</v>
      </c>
      <c r="D363" s="2" t="str">
        <f aca="false">IFERROR(__xludf.dummyfunction("""COMPUTED_VALUE"""),"Kanha")</f>
        <v>Kanha</v>
      </c>
      <c r="E363" s="16" t="n">
        <f aca="false">IFERROR(__xludf.dummyfunction("""COMPUTED_VALUE"""),43399)</f>
        <v>43399</v>
      </c>
      <c r="F363" s="9" t="n">
        <f aca="false">IFERROR(__xludf.dummyfunction("""COMPUTED_VALUE"""),12000)</f>
        <v>12000</v>
      </c>
      <c r="G363" s="2" t="n">
        <f aca="false">IFERROR(__xludf.dummyfunction("""COMPUTED_VALUE"""),30)</f>
        <v>30</v>
      </c>
      <c r="H363" s="2" t="n">
        <f aca="false">IFERROR(__xludf.dummyfunction("""COMPUTED_VALUE"""),30)</f>
        <v>30</v>
      </c>
      <c r="I363" s="9" t="n">
        <f aca="false">IFERROR(__xludf.dummyfunction("""COMPUTED_VALUE"""),144000)</f>
        <v>144000</v>
      </c>
      <c r="J363" s="9" t="n">
        <f aca="false">IFERROR(__xludf.dummyfunction("""COMPUTED_VALUE"""),63)</f>
        <v>63</v>
      </c>
      <c r="K363" s="9"/>
      <c r="L363" s="9" t="n">
        <f aca="false">IFERROR(__xludf.dummyfunction("""COMPUTED_VALUE"""),0)</f>
        <v>0</v>
      </c>
      <c r="M363" s="9"/>
    </row>
    <row r="364" customFormat="false" ht="15.75" hidden="false" customHeight="false" outlineLevel="0" collapsed="false">
      <c r="A364" s="2" t="str">
        <f aca="false">IFERROR(__xludf.dummyfunction("""COMPUTED_VALUE"""),"SHKJ/KAN/1154")</f>
        <v>SHKJ/KAN/1154</v>
      </c>
      <c r="B364" s="2" t="str">
        <f aca="false">IFERROR(__xludf.dummyfunction("""COMPUTED_VALUE"""),"Abhisek Mudda")</f>
        <v>Abhisek Mudda</v>
      </c>
      <c r="C364" s="2" t="str">
        <f aca="false">IFERROR(__xludf.dummyfunction("""COMPUTED_VALUE"""),"Civil")</f>
        <v>Civil</v>
      </c>
      <c r="D364" s="2" t="str">
        <f aca="false">IFERROR(__xludf.dummyfunction("""COMPUTED_VALUE"""),"Kanha")</f>
        <v>Kanha</v>
      </c>
      <c r="E364" s="16" t="n">
        <f aca="false">IFERROR(__xludf.dummyfunction("""COMPUTED_VALUE"""),43642)</f>
        <v>43642</v>
      </c>
      <c r="F364" s="9" t="n">
        <f aca="false">IFERROR(__xludf.dummyfunction("""COMPUTED_VALUE"""),20000)</f>
        <v>20000</v>
      </c>
      <c r="G364" s="2" t="n">
        <f aca="false">IFERROR(__xludf.dummyfunction("""COMPUTED_VALUE"""),30)</f>
        <v>30</v>
      </c>
      <c r="H364" s="2" t="n">
        <f aca="false">IFERROR(__xludf.dummyfunction("""COMPUTED_VALUE"""),30)</f>
        <v>30</v>
      </c>
      <c r="I364" s="9" t="n">
        <f aca="false">IFERROR(__xludf.dummyfunction("""COMPUTED_VALUE"""),240000)</f>
        <v>240000</v>
      </c>
      <c r="J364" s="9" t="n">
        <f aca="false">IFERROR(__xludf.dummyfunction("""COMPUTED_VALUE"""),63)</f>
        <v>63</v>
      </c>
      <c r="K364" s="9"/>
      <c r="L364" s="9" t="n">
        <f aca="false">IFERROR(__xludf.dummyfunction("""COMPUTED_VALUE"""),0)</f>
        <v>0</v>
      </c>
      <c r="M364" s="9"/>
    </row>
    <row r="365" customFormat="false" ht="15.75" hidden="false" customHeight="false" outlineLevel="0" collapsed="false">
      <c r="A365" s="2" t="str">
        <f aca="false">IFERROR(__xludf.dummyfunction("""COMPUTED_VALUE"""),"SHKJ/KAN/1153")</f>
        <v>SHKJ/KAN/1153</v>
      </c>
      <c r="B365" s="2" t="str">
        <f aca="false">IFERROR(__xludf.dummyfunction("""COMPUTED_VALUE"""),"Perai Arivazhagan Kannan")</f>
        <v>Perai Arivazhagan Kannan</v>
      </c>
      <c r="C365" s="2" t="str">
        <f aca="false">IFERROR(__xludf.dummyfunction("""COMPUTED_VALUE"""),"Accounts")</f>
        <v>Accounts</v>
      </c>
      <c r="D365" s="2" t="str">
        <f aca="false">IFERROR(__xludf.dummyfunction("""COMPUTED_VALUE"""),"Kanha")</f>
        <v>Kanha</v>
      </c>
      <c r="E365" s="16" t="n">
        <f aca="false">IFERROR(__xludf.dummyfunction("""COMPUTED_VALUE"""),43619)</f>
        <v>43619</v>
      </c>
      <c r="F365" s="9" t="n">
        <f aca="false">IFERROR(__xludf.dummyfunction("""COMPUTED_VALUE"""),10000)</f>
        <v>10000</v>
      </c>
      <c r="G365" s="2" t="n">
        <f aca="false">IFERROR(__xludf.dummyfunction("""COMPUTED_VALUE"""),30)</f>
        <v>30</v>
      </c>
      <c r="H365" s="2" t="n">
        <f aca="false">IFERROR(__xludf.dummyfunction("""COMPUTED_VALUE"""),30)</f>
        <v>30</v>
      </c>
      <c r="I365" s="9" t="n">
        <f aca="false">IFERROR(__xludf.dummyfunction("""COMPUTED_VALUE"""),120000)</f>
        <v>120000</v>
      </c>
      <c r="J365" s="9" t="n">
        <f aca="false">IFERROR(__xludf.dummyfunction("""COMPUTED_VALUE"""),95)</f>
        <v>95</v>
      </c>
      <c r="K365" s="9"/>
      <c r="L365" s="9" t="n">
        <f aca="false">IFERROR(__xludf.dummyfunction("""COMPUTED_VALUE"""),0)</f>
        <v>0</v>
      </c>
      <c r="M365" s="9"/>
    </row>
    <row r="366" customFormat="false" ht="15.75" hidden="false" customHeight="false" outlineLevel="0" collapsed="false">
      <c r="A366" s="2" t="str">
        <f aca="false">IFERROR(__xludf.dummyfunction("""COMPUTED_VALUE"""),"SHKJ/KAN/1156")</f>
        <v>SHKJ/KAN/1156</v>
      </c>
      <c r="B366" s="2" t="str">
        <f aca="false">IFERROR(__xludf.dummyfunction("""COMPUTED_VALUE"""),"Vengatesh")</f>
        <v>Vengatesh</v>
      </c>
      <c r="C366" s="2" t="str">
        <f aca="false">IFERROR(__xludf.dummyfunction("""COMPUTED_VALUE"""),"Civil")</f>
        <v>Civil</v>
      </c>
      <c r="D366" s="2" t="str">
        <f aca="false">IFERROR(__xludf.dummyfunction("""COMPUTED_VALUE"""),"Kanha")</f>
        <v>Kanha</v>
      </c>
      <c r="E366" s="16" t="n">
        <f aca="false">IFERROR(__xludf.dummyfunction("""COMPUTED_VALUE"""),43642)</f>
        <v>43642</v>
      </c>
      <c r="F366" s="9" t="n">
        <f aca="false">IFERROR(__xludf.dummyfunction("""COMPUTED_VALUE"""),12000)</f>
        <v>12000</v>
      </c>
      <c r="G366" s="2" t="n">
        <f aca="false">IFERROR(__xludf.dummyfunction("""COMPUTED_VALUE"""),30)</f>
        <v>30</v>
      </c>
      <c r="H366" s="2" t="n">
        <f aca="false">IFERROR(__xludf.dummyfunction("""COMPUTED_VALUE"""),30)</f>
        <v>30</v>
      </c>
      <c r="I366" s="9" t="n">
        <f aca="false">IFERROR(__xludf.dummyfunction("""COMPUTED_VALUE"""),144000)</f>
        <v>144000</v>
      </c>
      <c r="J366" s="9" t="n">
        <f aca="false">IFERROR(__xludf.dummyfunction("""COMPUTED_VALUE"""),63)</f>
        <v>63</v>
      </c>
      <c r="K366" s="9"/>
      <c r="L366" s="9" t="n">
        <f aca="false">IFERROR(__xludf.dummyfunction("""COMPUTED_VALUE"""),0)</f>
        <v>0</v>
      </c>
      <c r="M366" s="9"/>
    </row>
    <row r="367" customFormat="false" ht="15.75" hidden="false" customHeight="false" outlineLevel="0" collapsed="false">
      <c r="A367" s="2" t="str">
        <f aca="false">IFERROR(__xludf.dummyfunction("""COMPUTED_VALUE"""),"SHKJ/KAN/1165")</f>
        <v>SHKJ/KAN/1165</v>
      </c>
      <c r="B367" s="2" t="str">
        <f aca="false">IFERROR(__xludf.dummyfunction("""COMPUTED_VALUE"""),"Damini G")</f>
        <v>Damini G</v>
      </c>
      <c r="C367" s="2" t="str">
        <f aca="false">IFERROR(__xludf.dummyfunction("""COMPUTED_VALUE"""),"Fitness center")</f>
        <v>Fitness center</v>
      </c>
      <c r="D367" s="2" t="str">
        <f aca="false">IFERROR(__xludf.dummyfunction("""COMPUTED_VALUE"""),"Kanha")</f>
        <v>Kanha</v>
      </c>
      <c r="E367" s="16" t="n">
        <f aca="false">IFERROR(__xludf.dummyfunction("""COMPUTED_VALUE"""),43642)</f>
        <v>43642</v>
      </c>
      <c r="F367" s="9" t="n">
        <f aca="false">IFERROR(__xludf.dummyfunction("""COMPUTED_VALUE"""),21000)</f>
        <v>21000</v>
      </c>
      <c r="G367" s="2" t="n">
        <f aca="false">IFERROR(__xludf.dummyfunction("""COMPUTED_VALUE"""),30)</f>
        <v>30</v>
      </c>
      <c r="H367" s="2" t="n">
        <f aca="false">IFERROR(__xludf.dummyfunction("""COMPUTED_VALUE"""),30)</f>
        <v>30</v>
      </c>
      <c r="I367" s="9" t="n">
        <f aca="false">IFERROR(__xludf.dummyfunction("""COMPUTED_VALUE"""),252000)</f>
        <v>252000</v>
      </c>
      <c r="J367" s="9" t="n">
        <f aca="false">IFERROR(__xludf.dummyfunction("""COMPUTED_VALUE"""),0)</f>
        <v>0</v>
      </c>
      <c r="K367" s="9"/>
      <c r="L367" s="9" t="n">
        <f aca="false">IFERROR(__xludf.dummyfunction("""COMPUTED_VALUE"""),0)</f>
        <v>0</v>
      </c>
      <c r="M367" s="9"/>
    </row>
    <row r="368" customFormat="false" ht="15.75" hidden="false" customHeight="false" outlineLevel="0" collapsed="false">
      <c r="A368" s="2" t="str">
        <f aca="false">IFERROR(__xludf.dummyfunction("""COMPUTED_VALUE"""),"SMSF/KAN/0223")</f>
        <v>SMSF/KAN/0223</v>
      </c>
      <c r="B368" s="2" t="str">
        <f aca="false">IFERROR(__xludf.dummyfunction("""COMPUTED_VALUE"""),"P RAMASAMY")</f>
        <v>P RAMASAMY</v>
      </c>
      <c r="C368" s="2" t="str">
        <f aca="false">IFERROR(__xludf.dummyfunction("""COMPUTED_VALUE"""),"Electrical")</f>
        <v>Electrical</v>
      </c>
      <c r="D368" s="2" t="str">
        <f aca="false">IFERROR(__xludf.dummyfunction("""COMPUTED_VALUE"""),"Kanha")</f>
        <v>Kanha</v>
      </c>
      <c r="E368" s="16" t="n">
        <f aca="false">IFERROR(__xludf.dummyfunction("""COMPUTED_VALUE"""),41988)</f>
        <v>41988</v>
      </c>
      <c r="F368" s="9" t="n">
        <f aca="false">IFERROR(__xludf.dummyfunction("""COMPUTED_VALUE"""),45150)</f>
        <v>45150</v>
      </c>
      <c r="G368" s="2" t="n">
        <f aca="false">IFERROR(__xludf.dummyfunction("""COMPUTED_VALUE"""),30)</f>
        <v>30</v>
      </c>
      <c r="H368" s="2" t="n">
        <f aca="false">IFERROR(__xludf.dummyfunction("""COMPUTED_VALUE"""),30)</f>
        <v>30</v>
      </c>
      <c r="I368" s="9" t="n">
        <f aca="false">IFERROR(__xludf.dummyfunction("""COMPUTED_VALUE"""),541800)</f>
        <v>541800</v>
      </c>
      <c r="J368" s="9" t="n">
        <f aca="false">IFERROR(__xludf.dummyfunction("""COMPUTED_VALUE"""),191)</f>
        <v>191</v>
      </c>
      <c r="K368" s="9"/>
      <c r="L368" s="9" t="n">
        <f aca="false">IFERROR(__xludf.dummyfunction("""COMPUTED_VALUE"""),0)</f>
        <v>0</v>
      </c>
      <c r="M368" s="9"/>
    </row>
    <row r="369" customFormat="false" ht="15.75" hidden="false" customHeight="false" outlineLevel="0" collapsed="false">
      <c r="A369" s="2" t="str">
        <f aca="false">IFERROR(__xludf.dummyfunction("""COMPUTED_VALUE"""),"SMSF/KAN/0224")</f>
        <v>SMSF/KAN/0224</v>
      </c>
      <c r="B369" s="2" t="str">
        <f aca="false">IFERROR(__xludf.dummyfunction("""COMPUTED_VALUE"""),"BUGGA HARI KUMAR")</f>
        <v>BUGGA HARI KUMAR</v>
      </c>
      <c r="C369" s="2" t="str">
        <f aca="false">IFERROR(__xludf.dummyfunction("""COMPUTED_VALUE"""),"Electrical")</f>
        <v>Electrical</v>
      </c>
      <c r="D369" s="2" t="str">
        <f aca="false">IFERROR(__xludf.dummyfunction("""COMPUTED_VALUE"""),"Kanha")</f>
        <v>Kanha</v>
      </c>
      <c r="E369" s="16" t="n">
        <f aca="false">IFERROR(__xludf.dummyfunction("""COMPUTED_VALUE"""),42204)</f>
        <v>42204</v>
      </c>
      <c r="F369" s="9" t="n">
        <f aca="false">IFERROR(__xludf.dummyfunction("""COMPUTED_VALUE"""),15000)</f>
        <v>15000</v>
      </c>
      <c r="G369" s="2" t="n">
        <f aca="false">IFERROR(__xludf.dummyfunction("""COMPUTED_VALUE"""),30)</f>
        <v>30</v>
      </c>
      <c r="H369" s="2" t="n">
        <f aca="false">IFERROR(__xludf.dummyfunction("""COMPUTED_VALUE"""),30)</f>
        <v>30</v>
      </c>
      <c r="I369" s="9" t="n">
        <f aca="false">IFERROR(__xludf.dummyfunction("""COMPUTED_VALUE"""),180000)</f>
        <v>180000</v>
      </c>
      <c r="J369" s="9" t="n">
        <f aca="false">IFERROR(__xludf.dummyfunction("""COMPUTED_VALUE"""),63)</f>
        <v>63</v>
      </c>
      <c r="K369" s="9"/>
      <c r="L369" s="9" t="n">
        <f aca="false">IFERROR(__xludf.dummyfunction("""COMPUTED_VALUE"""),0)</f>
        <v>0</v>
      </c>
      <c r="M369" s="9"/>
    </row>
    <row r="370" customFormat="false" ht="15.75" hidden="false" customHeight="false" outlineLevel="0" collapsed="false">
      <c r="A370" s="2" t="str">
        <f aca="false">IFERROR(__xludf.dummyfunction("""COMPUTED_VALUE"""),"SMSF/KAN/0225
")</f>
        <v>SMSF/KAN/0225
</v>
      </c>
      <c r="B370" s="2" t="str">
        <f aca="false">IFERROR(__xludf.dummyfunction("""COMPUTED_VALUE"""),"YADHAIAH MANKALA")</f>
        <v>YADHAIAH MANKALA</v>
      </c>
      <c r="C370" s="2" t="str">
        <f aca="false">IFERROR(__xludf.dummyfunction("""COMPUTED_VALUE"""),"Electrical")</f>
        <v>Electrical</v>
      </c>
      <c r="D370" s="2" t="str">
        <f aca="false">IFERROR(__xludf.dummyfunction("""COMPUTED_VALUE"""),"Kanha")</f>
        <v>Kanha</v>
      </c>
      <c r="E370" s="16" t="n">
        <f aca="false">IFERROR(__xludf.dummyfunction("""COMPUTED_VALUE"""),41673)</f>
        <v>41673</v>
      </c>
      <c r="F370" s="9" t="n">
        <f aca="false">IFERROR(__xludf.dummyfunction("""COMPUTED_VALUE"""),12000)</f>
        <v>12000</v>
      </c>
      <c r="G370" s="2" t="n">
        <f aca="false">IFERROR(__xludf.dummyfunction("""COMPUTED_VALUE"""),30)</f>
        <v>30</v>
      </c>
      <c r="H370" s="2" t="n">
        <f aca="false">IFERROR(__xludf.dummyfunction("""COMPUTED_VALUE"""),30)</f>
        <v>30</v>
      </c>
      <c r="I370" s="9" t="n">
        <f aca="false">IFERROR(__xludf.dummyfunction("""COMPUTED_VALUE"""),144000)</f>
        <v>144000</v>
      </c>
      <c r="J370" s="9" t="n">
        <f aca="false">IFERROR(__xludf.dummyfunction("""COMPUTED_VALUE"""),336)</f>
        <v>336</v>
      </c>
      <c r="K370" s="9"/>
      <c r="L370" s="9" t="n">
        <f aca="false">IFERROR(__xludf.dummyfunction("""COMPUTED_VALUE"""),0)</f>
        <v>0</v>
      </c>
      <c r="M370" s="9"/>
    </row>
    <row r="371" customFormat="false" ht="15.75" hidden="false" customHeight="false" outlineLevel="0" collapsed="false">
      <c r="A371" s="2" t="str">
        <f aca="false">IFERROR(__xludf.dummyfunction("""COMPUTED_VALUE"""),"SMSF/KAN/0226")</f>
        <v>SMSF/KAN/0226</v>
      </c>
      <c r="B371" s="2" t="str">
        <f aca="false">IFERROR(__xludf.dummyfunction("""COMPUTED_VALUE"""),"MURALI KUMAR D C")</f>
        <v>MURALI KUMAR D C</v>
      </c>
      <c r="C371" s="2" t="str">
        <f aca="false">IFERROR(__xludf.dummyfunction("""COMPUTED_VALUE"""),"Electrical")</f>
        <v>Electrical</v>
      </c>
      <c r="D371" s="2" t="str">
        <f aca="false">IFERROR(__xludf.dummyfunction("""COMPUTED_VALUE"""),"Kanha")</f>
        <v>Kanha</v>
      </c>
      <c r="E371" s="16" t="n">
        <f aca="false">IFERROR(__xludf.dummyfunction("""COMPUTED_VALUE"""),42525)</f>
        <v>42525</v>
      </c>
      <c r="F371" s="9" t="n">
        <f aca="false">IFERROR(__xludf.dummyfunction("""COMPUTED_VALUE"""),22275)</f>
        <v>22275</v>
      </c>
      <c r="G371" s="2" t="n">
        <f aca="false">IFERROR(__xludf.dummyfunction("""COMPUTED_VALUE"""),30)</f>
        <v>30</v>
      </c>
      <c r="H371" s="2" t="n">
        <f aca="false">IFERROR(__xludf.dummyfunction("""COMPUTED_VALUE"""),30)</f>
        <v>30</v>
      </c>
      <c r="I371" s="9" t="n">
        <f aca="false">IFERROR(__xludf.dummyfunction("""COMPUTED_VALUE"""),267300)</f>
        <v>267300</v>
      </c>
      <c r="J371" s="9" t="n">
        <f aca="false">IFERROR(__xludf.dummyfunction("""COMPUTED_VALUE"""),158)</f>
        <v>158</v>
      </c>
      <c r="K371" s="9"/>
      <c r="L371" s="9" t="n">
        <f aca="false">IFERROR(__xludf.dummyfunction("""COMPUTED_VALUE"""),0)</f>
        <v>0</v>
      </c>
      <c r="M371" s="9" t="n">
        <f aca="false">IFERROR(__xludf.dummyfunction("""COMPUTED_VALUE"""),1500)</f>
        <v>1500</v>
      </c>
    </row>
    <row r="372" customFormat="false" ht="15.75" hidden="false" customHeight="false" outlineLevel="0" collapsed="false">
      <c r="A372" s="2" t="str">
        <f aca="false">IFERROR(__xludf.dummyfunction("""COMPUTED_VALUE"""),"SMSF/KAN/0297")</f>
        <v>SMSF/KAN/0297</v>
      </c>
      <c r="B372" s="2" t="str">
        <f aca="false">IFERROR(__xludf.dummyfunction("""COMPUTED_VALUE"""),"Banoth Suresh")</f>
        <v>Banoth Suresh</v>
      </c>
      <c r="C372" s="2" t="str">
        <f aca="false">IFERROR(__xludf.dummyfunction("""COMPUTED_VALUE"""),"Electrical")</f>
        <v>Electrical</v>
      </c>
      <c r="D372" s="2" t="str">
        <f aca="false">IFERROR(__xludf.dummyfunction("""COMPUTED_VALUE"""),"Kanha")</f>
        <v>Kanha</v>
      </c>
      <c r="E372" s="16" t="n">
        <f aca="false">IFERROR(__xludf.dummyfunction("""COMPUTED_VALUE"""),42979)</f>
        <v>42979</v>
      </c>
      <c r="F372" s="9" t="n">
        <f aca="false">IFERROR(__xludf.dummyfunction("""COMPUTED_VALUE"""),23100)</f>
        <v>23100</v>
      </c>
      <c r="G372" s="2" t="n">
        <f aca="false">IFERROR(__xludf.dummyfunction("""COMPUTED_VALUE"""),30)</f>
        <v>30</v>
      </c>
      <c r="H372" s="2" t="n">
        <f aca="false">IFERROR(__xludf.dummyfunction("""COMPUTED_VALUE"""),30)</f>
        <v>30</v>
      </c>
      <c r="I372" s="9" t="n">
        <f aca="false">IFERROR(__xludf.dummyfunction("""COMPUTED_VALUE"""),277200)</f>
        <v>277200</v>
      </c>
      <c r="J372" s="9" t="n">
        <f aca="false">IFERROR(__xludf.dummyfunction("""COMPUTED_VALUE"""),254)</f>
        <v>254</v>
      </c>
      <c r="K372" s="9"/>
      <c r="L372" s="9" t="n">
        <f aca="false">IFERROR(__xludf.dummyfunction("""COMPUTED_VALUE"""),0)</f>
        <v>0</v>
      </c>
      <c r="M372" s="9"/>
    </row>
    <row r="373" customFormat="false" ht="15.75" hidden="false" customHeight="false" outlineLevel="0" collapsed="false">
      <c r="A373" s="2" t="str">
        <f aca="false">IFERROR(__xludf.dummyfunction("""COMPUTED_VALUE"""),"SMSF/KAN/0461")</f>
        <v>SMSF/KAN/0461</v>
      </c>
      <c r="B373" s="2" t="str">
        <f aca="false">IFERROR(__xludf.dummyfunction("""COMPUTED_VALUE"""),"Purnakanti Muttarao")</f>
        <v>Purnakanti Muttarao</v>
      </c>
      <c r="C373" s="2" t="str">
        <f aca="false">IFERROR(__xludf.dummyfunction("""COMPUTED_VALUE"""),"Electrical")</f>
        <v>Electrical</v>
      </c>
      <c r="D373" s="2" t="str">
        <f aca="false">IFERROR(__xludf.dummyfunction("""COMPUTED_VALUE"""),"Kanha")</f>
        <v>Kanha</v>
      </c>
      <c r="E373" s="16" t="n">
        <f aca="false">IFERROR(__xludf.dummyfunction("""COMPUTED_VALUE"""),43143)</f>
        <v>43143</v>
      </c>
      <c r="F373" s="9" t="n">
        <f aca="false">IFERROR(__xludf.dummyfunction("""COMPUTED_VALUE"""),23000)</f>
        <v>23000</v>
      </c>
      <c r="G373" s="2" t="n">
        <f aca="false">IFERROR(__xludf.dummyfunction("""COMPUTED_VALUE"""),30)</f>
        <v>30</v>
      </c>
      <c r="H373" s="2" t="n">
        <f aca="false">IFERROR(__xludf.dummyfunction("""COMPUTED_VALUE"""),30)</f>
        <v>30</v>
      </c>
      <c r="I373" s="9" t="n">
        <f aca="false">IFERROR(__xludf.dummyfunction("""COMPUTED_VALUE"""),276000)</f>
        <v>276000</v>
      </c>
      <c r="J373" s="9" t="n">
        <f aca="false">IFERROR(__xludf.dummyfunction("""COMPUTED_VALUE"""),317)</f>
        <v>317</v>
      </c>
      <c r="K373" s="9"/>
      <c r="L373" s="9" t="n">
        <f aca="false">IFERROR(__xludf.dummyfunction("""COMPUTED_VALUE"""),0)</f>
        <v>0</v>
      </c>
      <c r="M373" s="9"/>
    </row>
    <row r="374" customFormat="false" ht="15.75" hidden="false" customHeight="false" outlineLevel="0" collapsed="false">
      <c r="A374" s="2" t="str">
        <f aca="false">IFERROR(__xludf.dummyfunction("""COMPUTED_VALUE"""),"SMSF/KAN/0657")</f>
        <v>SMSF/KAN/0657</v>
      </c>
      <c r="B374" s="2" t="str">
        <f aca="false">IFERROR(__xludf.dummyfunction("""COMPUTED_VALUE"""),"Lakshmanan V")</f>
        <v>Lakshmanan V</v>
      </c>
      <c r="C374" s="2" t="str">
        <f aca="false">IFERROR(__xludf.dummyfunction("""COMPUTED_VALUE"""),"Electrical")</f>
        <v>Electrical</v>
      </c>
      <c r="D374" s="2" t="str">
        <f aca="false">IFERROR(__xludf.dummyfunction("""COMPUTED_VALUE"""),"Kanha")</f>
        <v>Kanha</v>
      </c>
      <c r="E374" s="16" t="n">
        <f aca="false">IFERROR(__xludf.dummyfunction("""COMPUTED_VALUE"""),43040)</f>
        <v>43040</v>
      </c>
      <c r="F374" s="9" t="n">
        <f aca="false">IFERROR(__xludf.dummyfunction("""COMPUTED_VALUE"""),16500)</f>
        <v>16500</v>
      </c>
      <c r="G374" s="2" t="n">
        <f aca="false">IFERROR(__xludf.dummyfunction("""COMPUTED_VALUE"""),30)</f>
        <v>30</v>
      </c>
      <c r="H374" s="2" t="n">
        <f aca="false">IFERROR(__xludf.dummyfunction("""COMPUTED_VALUE"""),30)</f>
        <v>30</v>
      </c>
      <c r="I374" s="9" t="n">
        <f aca="false">IFERROR(__xludf.dummyfunction("""COMPUTED_VALUE"""),198000)</f>
        <v>198000</v>
      </c>
      <c r="J374" s="9" t="n">
        <f aca="false">IFERROR(__xludf.dummyfunction("""COMPUTED_VALUE"""),389)</f>
        <v>389</v>
      </c>
      <c r="K374" s="9"/>
      <c r="L374" s="9" t="n">
        <f aca="false">IFERROR(__xludf.dummyfunction("""COMPUTED_VALUE"""),0)</f>
        <v>0</v>
      </c>
      <c r="M374" s="9"/>
    </row>
    <row r="375" customFormat="false" ht="15.75" hidden="false" customHeight="false" outlineLevel="0" collapsed="false">
      <c r="A375" s="2" t="str">
        <f aca="false">IFERROR(__xludf.dummyfunction("""COMPUTED_VALUE"""),"SMSF/KAN/0599")</f>
        <v>SMSF/KAN/0599</v>
      </c>
      <c r="B375" s="2" t="str">
        <f aca="false">IFERROR(__xludf.dummyfunction("""COMPUTED_VALUE"""),"B Murali ")</f>
        <v>B Murali </v>
      </c>
      <c r="C375" s="2" t="str">
        <f aca="false">IFERROR(__xludf.dummyfunction("""COMPUTED_VALUE"""),"Electrical")</f>
        <v>Electrical</v>
      </c>
      <c r="D375" s="2" t="str">
        <f aca="false">IFERROR(__xludf.dummyfunction("""COMPUTED_VALUE"""),"Kanha")</f>
        <v>Kanha</v>
      </c>
      <c r="E375" s="16" t="n">
        <f aca="false">IFERROR(__xludf.dummyfunction("""COMPUTED_VALUE"""),43040)</f>
        <v>43040</v>
      </c>
      <c r="F375" s="9" t="n">
        <f aca="false">IFERROR(__xludf.dummyfunction("""COMPUTED_VALUE"""),15000)</f>
        <v>15000</v>
      </c>
      <c r="G375" s="2" t="n">
        <f aca="false">IFERROR(__xludf.dummyfunction("""COMPUTED_VALUE"""),30)</f>
        <v>30</v>
      </c>
      <c r="H375" s="2" t="n">
        <f aca="false">IFERROR(__xludf.dummyfunction("""COMPUTED_VALUE"""),30)</f>
        <v>30</v>
      </c>
      <c r="I375" s="9" t="n">
        <f aca="false">IFERROR(__xludf.dummyfunction("""COMPUTED_VALUE"""),180000)</f>
        <v>180000</v>
      </c>
      <c r="J375" s="9" t="n">
        <f aca="false">IFERROR(__xludf.dummyfunction("""COMPUTED_VALUE"""),95)</f>
        <v>95</v>
      </c>
      <c r="K375" s="9"/>
      <c r="L375" s="9" t="n">
        <f aca="false">IFERROR(__xludf.dummyfunction("""COMPUTED_VALUE"""),0)</f>
        <v>0</v>
      </c>
      <c r="M375" s="9"/>
    </row>
    <row r="376" customFormat="false" ht="15.75" hidden="false" customHeight="false" outlineLevel="0" collapsed="false">
      <c r="A376" s="2" t="str">
        <f aca="false">IFERROR(__xludf.dummyfunction("""COMPUTED_VALUE"""),"SMSF/KAN/0562")</f>
        <v>SMSF/KAN/0562</v>
      </c>
      <c r="B376" s="2" t="str">
        <f aca="false">IFERROR(__xludf.dummyfunction("""COMPUTED_VALUE"""),"Y ELLAIAH")</f>
        <v>Y ELLAIAH</v>
      </c>
      <c r="C376" s="2" t="str">
        <f aca="false">IFERROR(__xludf.dummyfunction("""COMPUTED_VALUE"""),"Electrical")</f>
        <v>Electrical</v>
      </c>
      <c r="D376" s="2" t="str">
        <f aca="false">IFERROR(__xludf.dummyfunction("""COMPUTED_VALUE"""),"Kanha")</f>
        <v>Kanha</v>
      </c>
      <c r="E376" s="16" t="n">
        <f aca="false">IFERROR(__xludf.dummyfunction("""COMPUTED_VALUE"""),36617)</f>
        <v>36617</v>
      </c>
      <c r="F376" s="9" t="n">
        <f aca="false">IFERROR(__xludf.dummyfunction("""COMPUTED_VALUE"""),23000)</f>
        <v>23000</v>
      </c>
      <c r="G376" s="2" t="n">
        <f aca="false">IFERROR(__xludf.dummyfunction("""COMPUTED_VALUE"""),30)</f>
        <v>30</v>
      </c>
      <c r="H376" s="2" t="n">
        <f aca="false">IFERROR(__xludf.dummyfunction("""COMPUTED_VALUE"""),30)</f>
        <v>30</v>
      </c>
      <c r="I376" s="9" t="n">
        <f aca="false">IFERROR(__xludf.dummyfunction("""COMPUTED_VALUE"""),276000)</f>
        <v>276000</v>
      </c>
      <c r="J376" s="9" t="n">
        <f aca="false">IFERROR(__xludf.dummyfunction("""COMPUTED_VALUE"""),191)</f>
        <v>191</v>
      </c>
      <c r="K376" s="9"/>
      <c r="L376" s="9" t="n">
        <f aca="false">IFERROR(__xludf.dummyfunction("""COMPUTED_VALUE"""),0)</f>
        <v>0</v>
      </c>
      <c r="M376" s="9" t="n">
        <f aca="false">IFERROR(__xludf.dummyfunction("""COMPUTED_VALUE"""),1500)</f>
        <v>1500</v>
      </c>
    </row>
    <row r="377" customFormat="false" ht="15.75" hidden="false" customHeight="false" outlineLevel="0" collapsed="false">
      <c r="A377" s="2" t="str">
        <f aca="false">IFERROR(__xludf.dummyfunction("""COMPUTED_VALUE"""),"SMSF/KAN/0737")</f>
        <v>SMSF/KAN/0737</v>
      </c>
      <c r="B377" s="2" t="str">
        <f aca="false">IFERROR(__xludf.dummyfunction("""COMPUTED_VALUE"""),"Santosh Pradhan")</f>
        <v>Santosh Pradhan</v>
      </c>
      <c r="C377" s="2" t="str">
        <f aca="false">IFERROR(__xludf.dummyfunction("""COMPUTED_VALUE"""),"Electrical")</f>
        <v>Electrical</v>
      </c>
      <c r="D377" s="2" t="str">
        <f aca="false">IFERROR(__xludf.dummyfunction("""COMPUTED_VALUE"""),"Kanha")</f>
        <v>Kanha</v>
      </c>
      <c r="E377" s="16" t="n">
        <f aca="false">IFERROR(__xludf.dummyfunction("""COMPUTED_VALUE"""),43344)</f>
        <v>43344</v>
      </c>
      <c r="F377" s="9" t="n">
        <f aca="false">IFERROR(__xludf.dummyfunction("""COMPUTED_VALUE"""),14300)</f>
        <v>14300</v>
      </c>
      <c r="G377" s="2" t="n">
        <f aca="false">IFERROR(__xludf.dummyfunction("""COMPUTED_VALUE"""),30)</f>
        <v>30</v>
      </c>
      <c r="H377" s="2" t="n">
        <f aca="false">IFERROR(__xludf.dummyfunction("""COMPUTED_VALUE"""),30)</f>
        <v>30</v>
      </c>
      <c r="I377" s="9" t="n">
        <f aca="false">IFERROR(__xludf.dummyfunction("""COMPUTED_VALUE"""),171600)</f>
        <v>171600</v>
      </c>
      <c r="J377" s="9" t="n">
        <f aca="false">IFERROR(__xludf.dummyfunction("""COMPUTED_VALUE"""),63)</f>
        <v>63</v>
      </c>
      <c r="K377" s="9"/>
      <c r="L377" s="9" t="n">
        <f aca="false">IFERROR(__xludf.dummyfunction("""COMPUTED_VALUE"""),0)</f>
        <v>0</v>
      </c>
      <c r="M377" s="9"/>
    </row>
    <row r="378" customFormat="false" ht="15.75" hidden="false" customHeight="false" outlineLevel="0" collapsed="false">
      <c r="A378" s="2" t="str">
        <f aca="false">IFERROR(__xludf.dummyfunction("""COMPUTED_VALUE"""),"SMSF/KAN/0738")</f>
        <v>SMSF/KAN/0738</v>
      </c>
      <c r="B378" s="2" t="str">
        <f aca="false">IFERROR(__xludf.dummyfunction("""COMPUTED_VALUE"""),"Thilakar Pandaram ")</f>
        <v>Thilakar Pandaram </v>
      </c>
      <c r="C378" s="2" t="str">
        <f aca="false">IFERROR(__xludf.dummyfunction("""COMPUTED_VALUE"""),"Electrical")</f>
        <v>Electrical</v>
      </c>
      <c r="D378" s="2" t="str">
        <f aca="false">IFERROR(__xludf.dummyfunction("""COMPUTED_VALUE"""),"Kanha")</f>
        <v>Kanha</v>
      </c>
      <c r="E378" s="16" t="n">
        <f aca="false">IFERROR(__xludf.dummyfunction("""COMPUTED_VALUE"""),43344)</f>
        <v>43344</v>
      </c>
      <c r="F378" s="9" t="n">
        <f aca="false">IFERROR(__xludf.dummyfunction("""COMPUTED_VALUE"""),12540)</f>
        <v>12540</v>
      </c>
      <c r="G378" s="2" t="n">
        <f aca="false">IFERROR(__xludf.dummyfunction("""COMPUTED_VALUE"""),30)</f>
        <v>30</v>
      </c>
      <c r="H378" s="2" t="n">
        <f aca="false">IFERROR(__xludf.dummyfunction("""COMPUTED_VALUE"""),30)</f>
        <v>30</v>
      </c>
      <c r="I378" s="9" t="n">
        <f aca="false">IFERROR(__xludf.dummyfunction("""COMPUTED_VALUE"""),150480)</f>
        <v>150480</v>
      </c>
      <c r="J378" s="9" t="n">
        <f aca="false">IFERROR(__xludf.dummyfunction("""COMPUTED_VALUE"""),167)</f>
        <v>167</v>
      </c>
      <c r="K378" s="9"/>
      <c r="L378" s="9" t="n">
        <f aca="false">IFERROR(__xludf.dummyfunction("""COMPUTED_VALUE"""),0)</f>
        <v>0</v>
      </c>
      <c r="M378" s="9"/>
    </row>
    <row r="379" customFormat="false" ht="15.75" hidden="false" customHeight="false" outlineLevel="0" collapsed="false">
      <c r="A379" s="2" t="str">
        <f aca="false">IFERROR(__xludf.dummyfunction("""COMPUTED_VALUE"""),"SMSF/KAN/0778")</f>
        <v>SMSF/KAN/0778</v>
      </c>
      <c r="B379" s="2" t="str">
        <f aca="false">IFERROR(__xludf.dummyfunction("""COMPUTED_VALUE"""),"Naveen Kumar.M")</f>
        <v>Naveen Kumar.M</v>
      </c>
      <c r="C379" s="2" t="str">
        <f aca="false">IFERROR(__xludf.dummyfunction("""COMPUTED_VALUE"""),"Electrical")</f>
        <v>Electrical</v>
      </c>
      <c r="D379" s="2" t="str">
        <f aca="false">IFERROR(__xludf.dummyfunction("""COMPUTED_VALUE"""),"Kanha")</f>
        <v>Kanha</v>
      </c>
      <c r="E379" s="16" t="n">
        <f aca="false">IFERROR(__xludf.dummyfunction("""COMPUTED_VALUE"""),43344)</f>
        <v>43344</v>
      </c>
      <c r="F379" s="9" t="n">
        <f aca="false">IFERROR(__xludf.dummyfunction("""COMPUTED_VALUE"""),14300)</f>
        <v>14300</v>
      </c>
      <c r="G379" s="2" t="n">
        <f aca="false">IFERROR(__xludf.dummyfunction("""COMPUTED_VALUE"""),30)</f>
        <v>30</v>
      </c>
      <c r="H379" s="2" t="n">
        <f aca="false">IFERROR(__xludf.dummyfunction("""COMPUTED_VALUE"""),30)</f>
        <v>30</v>
      </c>
      <c r="I379" s="9" t="n">
        <f aca="false">IFERROR(__xludf.dummyfunction("""COMPUTED_VALUE"""),171600)</f>
        <v>171600</v>
      </c>
      <c r="J379" s="9" t="n">
        <f aca="false">IFERROR(__xludf.dummyfunction("""COMPUTED_VALUE"""),63)</f>
        <v>63</v>
      </c>
      <c r="K379" s="9"/>
      <c r="L379" s="9" t="n">
        <f aca="false">IFERROR(__xludf.dummyfunction("""COMPUTED_VALUE"""),0)</f>
        <v>0</v>
      </c>
      <c r="M379" s="9"/>
    </row>
    <row r="380" customFormat="false" ht="15.75" hidden="false" customHeight="false" outlineLevel="0" collapsed="false">
      <c r="A380" s="2" t="str">
        <f aca="false">IFERROR(__xludf.dummyfunction("""COMPUTED_VALUE"""),"SMSF/KAN/0739")</f>
        <v>SMSF/KAN/0739</v>
      </c>
      <c r="B380" s="2" t="str">
        <f aca="false">IFERROR(__xludf.dummyfunction("""COMPUTED_VALUE"""),"Tuna Pradhan")</f>
        <v>Tuna Pradhan</v>
      </c>
      <c r="C380" s="2" t="str">
        <f aca="false">IFERROR(__xludf.dummyfunction("""COMPUTED_VALUE"""),"Electrical")</f>
        <v>Electrical</v>
      </c>
      <c r="D380" s="2" t="str">
        <f aca="false">IFERROR(__xludf.dummyfunction("""COMPUTED_VALUE"""),"Kanha")</f>
        <v>Kanha</v>
      </c>
      <c r="E380" s="16" t="n">
        <f aca="false">IFERROR(__xludf.dummyfunction("""COMPUTED_VALUE"""),43344)</f>
        <v>43344</v>
      </c>
      <c r="F380" s="9" t="n">
        <f aca="false">IFERROR(__xludf.dummyfunction("""COMPUTED_VALUE"""),12540)</f>
        <v>12540</v>
      </c>
      <c r="G380" s="2" t="n">
        <f aca="false">IFERROR(__xludf.dummyfunction("""COMPUTED_VALUE"""),30)</f>
        <v>30</v>
      </c>
      <c r="H380" s="2" t="n">
        <f aca="false">IFERROR(__xludf.dummyfunction("""COMPUTED_VALUE"""),30)</f>
        <v>30</v>
      </c>
      <c r="I380" s="9" t="n">
        <f aca="false">IFERROR(__xludf.dummyfunction("""COMPUTED_VALUE"""),150480)</f>
        <v>150480</v>
      </c>
      <c r="J380" s="9" t="n">
        <f aca="false">IFERROR(__xludf.dummyfunction("""COMPUTED_VALUE"""),336)</f>
        <v>336</v>
      </c>
      <c r="K380" s="9"/>
      <c r="L380" s="9" t="n">
        <f aca="false">IFERROR(__xludf.dummyfunction("""COMPUTED_VALUE"""),0)</f>
        <v>0</v>
      </c>
      <c r="M380" s="9"/>
    </row>
    <row r="381" customFormat="false" ht="15.75" hidden="false" customHeight="false" outlineLevel="0" collapsed="false">
      <c r="A381" s="2" t="str">
        <f aca="false">IFERROR(__xludf.dummyfunction("""COMPUTED_VALUE"""),"SMSF/KAN/0831")</f>
        <v>SMSF/KAN/0831</v>
      </c>
      <c r="B381" s="2" t="str">
        <f aca="false">IFERROR(__xludf.dummyfunction("""COMPUTED_VALUE"""),"Madhan Mohan")</f>
        <v>Madhan Mohan</v>
      </c>
      <c r="C381" s="2" t="str">
        <f aca="false">IFERROR(__xludf.dummyfunction("""COMPUTED_VALUE"""),"Electrical")</f>
        <v>Electrical</v>
      </c>
      <c r="D381" s="2" t="str">
        <f aca="false">IFERROR(__xludf.dummyfunction("""COMPUTED_VALUE"""),"Kanha")</f>
        <v>Kanha</v>
      </c>
      <c r="E381" s="16" t="n">
        <f aca="false">IFERROR(__xludf.dummyfunction("""COMPUTED_VALUE"""),43367)</f>
        <v>43367</v>
      </c>
      <c r="F381" s="9" t="n">
        <f aca="false">IFERROR(__xludf.dummyfunction("""COMPUTED_VALUE"""),51600)</f>
        <v>51600</v>
      </c>
      <c r="G381" s="2" t="n">
        <f aca="false">IFERROR(__xludf.dummyfunction("""COMPUTED_VALUE"""),30)</f>
        <v>30</v>
      </c>
      <c r="H381" s="2" t="n">
        <f aca="false">IFERROR(__xludf.dummyfunction("""COMPUTED_VALUE"""),30)</f>
        <v>30</v>
      </c>
      <c r="I381" s="9" t="n">
        <f aca="false">IFERROR(__xludf.dummyfunction("""COMPUTED_VALUE"""),619200)</f>
        <v>619200</v>
      </c>
      <c r="J381" s="9" t="n">
        <f aca="false">IFERROR(__xludf.dummyfunction("""COMPUTED_VALUE"""),317)</f>
        <v>317</v>
      </c>
      <c r="K381" s="9"/>
      <c r="L381" s="9" t="n">
        <f aca="false">IFERROR(__xludf.dummyfunction("""COMPUTED_VALUE"""),0)</f>
        <v>0</v>
      </c>
      <c r="M381" s="9" t="n">
        <f aca="false">IFERROR(__xludf.dummyfunction("""COMPUTED_VALUE"""),1500)</f>
        <v>1500</v>
      </c>
    </row>
    <row r="382" customFormat="false" ht="15.75" hidden="false" customHeight="false" outlineLevel="0" collapsed="false">
      <c r="A382" s="2" t="str">
        <f aca="false">IFERROR(__xludf.dummyfunction("""COMPUTED_VALUE"""),"SMSF/KAN/0918")</f>
        <v>SMSF/KAN/0918</v>
      </c>
      <c r="B382" s="2" t="str">
        <f aca="false">IFERROR(__xludf.dummyfunction("""COMPUTED_VALUE"""),"Karan Kumar ")</f>
        <v>Karan Kumar </v>
      </c>
      <c r="C382" s="2" t="str">
        <f aca="false">IFERROR(__xludf.dummyfunction("""COMPUTED_VALUE"""),"Electrical")</f>
        <v>Electrical</v>
      </c>
      <c r="D382" s="2" t="str">
        <f aca="false">IFERROR(__xludf.dummyfunction("""COMPUTED_VALUE"""),"Kanha")</f>
        <v>Kanha</v>
      </c>
      <c r="E382" s="16" t="n">
        <f aca="false">IFERROR(__xludf.dummyfunction("""COMPUTED_VALUE"""),43453)</f>
        <v>43453</v>
      </c>
      <c r="F382" s="9" t="n">
        <f aca="false">IFERROR(__xludf.dummyfunction("""COMPUTED_VALUE"""),20000)</f>
        <v>20000</v>
      </c>
      <c r="G382" s="2" t="n">
        <f aca="false">IFERROR(__xludf.dummyfunction("""COMPUTED_VALUE"""),30)</f>
        <v>30</v>
      </c>
      <c r="H382" s="2" t="n">
        <f aca="false">IFERROR(__xludf.dummyfunction("""COMPUTED_VALUE"""),30)</f>
        <v>30</v>
      </c>
      <c r="I382" s="9" t="n">
        <f aca="false">IFERROR(__xludf.dummyfunction("""COMPUTED_VALUE"""),240000)</f>
        <v>240000</v>
      </c>
      <c r="J382" s="9" t="n">
        <f aca="false">IFERROR(__xludf.dummyfunction("""COMPUTED_VALUE"""),158)</f>
        <v>158</v>
      </c>
      <c r="K382" s="9"/>
      <c r="L382" s="9" t="n">
        <f aca="false">IFERROR(__xludf.dummyfunction("""COMPUTED_VALUE"""),0)</f>
        <v>0</v>
      </c>
      <c r="M382" s="9"/>
    </row>
    <row r="383" customFormat="false" ht="15.75" hidden="false" customHeight="false" outlineLevel="0" collapsed="false">
      <c r="A383" s="2" t="str">
        <f aca="false">IFERROR(__xludf.dummyfunction("""COMPUTED_VALUE"""),"SMSF/KAN/0915")</f>
        <v>SMSF/KAN/0915</v>
      </c>
      <c r="B383" s="2" t="str">
        <f aca="false">IFERROR(__xludf.dummyfunction("""COMPUTED_VALUE"""),"SRUJJAN MANGALAM BADATYA")</f>
        <v>SRUJJAN MANGALAM BADATYA</v>
      </c>
      <c r="C383" s="2" t="str">
        <f aca="false">IFERROR(__xludf.dummyfunction("""COMPUTED_VALUE"""),"Electrical")</f>
        <v>Electrical</v>
      </c>
      <c r="D383" s="2" t="str">
        <f aca="false">IFERROR(__xludf.dummyfunction("""COMPUTED_VALUE"""),"Kanha")</f>
        <v>Kanha</v>
      </c>
      <c r="E383" s="16" t="n">
        <f aca="false">IFERROR(__xludf.dummyfunction("""COMPUTED_VALUE"""),43454)</f>
        <v>43454</v>
      </c>
      <c r="F383" s="9" t="n">
        <f aca="false">IFERROR(__xludf.dummyfunction("""COMPUTED_VALUE"""),23000)</f>
        <v>23000</v>
      </c>
      <c r="G383" s="2" t="n">
        <f aca="false">IFERROR(__xludf.dummyfunction("""COMPUTED_VALUE"""),30)</f>
        <v>30</v>
      </c>
      <c r="H383" s="2" t="n">
        <f aca="false">IFERROR(__xludf.dummyfunction("""COMPUTED_VALUE"""),30)</f>
        <v>30</v>
      </c>
      <c r="I383" s="9" t="n">
        <f aca="false">IFERROR(__xludf.dummyfunction("""COMPUTED_VALUE"""),276000)</f>
        <v>276000</v>
      </c>
      <c r="J383" s="9" t="n">
        <f aca="false">IFERROR(__xludf.dummyfunction("""COMPUTED_VALUE"""),254)</f>
        <v>254</v>
      </c>
      <c r="K383" s="9"/>
      <c r="L383" s="9" t="n">
        <f aca="false">IFERROR(__xludf.dummyfunction("""COMPUTED_VALUE"""),0)</f>
        <v>0</v>
      </c>
      <c r="M383" s="9"/>
    </row>
    <row r="384" customFormat="false" ht="15.75" hidden="false" customHeight="false" outlineLevel="0" collapsed="false">
      <c r="A384" s="2" t="str">
        <f aca="false">IFERROR(__xludf.dummyfunction("""COMPUTED_VALUE"""),"SMSF/KAN/1058")</f>
        <v>SMSF/KAN/1058</v>
      </c>
      <c r="B384" s="2" t="str">
        <f aca="false">IFERROR(__xludf.dummyfunction("""COMPUTED_VALUE"""),"R.K.Saravanan")</f>
        <v>R.K.Saravanan</v>
      </c>
      <c r="C384" s="2" t="str">
        <f aca="false">IFERROR(__xludf.dummyfunction("""COMPUTED_VALUE"""),"Electrical")</f>
        <v>Electrical</v>
      </c>
      <c r="D384" s="2" t="str">
        <f aca="false">IFERROR(__xludf.dummyfunction("""COMPUTED_VALUE"""),"Kanha")</f>
        <v>Kanha</v>
      </c>
      <c r="E384" s="16" t="n">
        <f aca="false">IFERROR(__xludf.dummyfunction("""COMPUTED_VALUE"""),43571)</f>
        <v>43571</v>
      </c>
      <c r="F384" s="9" t="n">
        <f aca="false">IFERROR(__xludf.dummyfunction("""COMPUTED_VALUE"""),28000)</f>
        <v>28000</v>
      </c>
      <c r="G384" s="2" t="n">
        <f aca="false">IFERROR(__xludf.dummyfunction("""COMPUTED_VALUE"""),30)</f>
        <v>30</v>
      </c>
      <c r="H384" s="2" t="n">
        <f aca="false">IFERROR(__xludf.dummyfunction("""COMPUTED_VALUE"""),30)</f>
        <v>30</v>
      </c>
      <c r="I384" s="9" t="n">
        <f aca="false">IFERROR(__xludf.dummyfunction("""COMPUTED_VALUE"""),336000)</f>
        <v>336000</v>
      </c>
      <c r="J384" s="9" t="n">
        <f aca="false">IFERROR(__xludf.dummyfunction("""COMPUTED_VALUE"""),95)</f>
        <v>95</v>
      </c>
      <c r="K384" s="9"/>
      <c r="L384" s="9" t="n">
        <f aca="false">IFERROR(__xludf.dummyfunction("""COMPUTED_VALUE"""),0)</f>
        <v>0</v>
      </c>
      <c r="M384" s="9"/>
    </row>
    <row r="385" customFormat="false" ht="15.75" hidden="false" customHeight="false" outlineLevel="0" collapsed="false">
      <c r="A385" s="2" t="str">
        <f aca="false">IFERROR(__xludf.dummyfunction("""COMPUTED_VALUE"""),"SMSF/KAN/1068")</f>
        <v>SMSF/KAN/1068</v>
      </c>
      <c r="B385" s="2" t="str">
        <f aca="false">IFERROR(__xludf.dummyfunction("""COMPUTED_VALUE"""),"Saroj Kumar Pradhan")</f>
        <v>Saroj Kumar Pradhan</v>
      </c>
      <c r="C385" s="2" t="str">
        <f aca="false">IFERROR(__xludf.dummyfunction("""COMPUTED_VALUE"""),"Electrical")</f>
        <v>Electrical</v>
      </c>
      <c r="D385" s="2" t="str">
        <f aca="false">IFERROR(__xludf.dummyfunction("""COMPUTED_VALUE"""),"Kanha")</f>
        <v>Kanha</v>
      </c>
      <c r="E385" s="16" t="n">
        <f aca="false">IFERROR(__xludf.dummyfunction("""COMPUTED_VALUE"""),43572)</f>
        <v>43572</v>
      </c>
      <c r="F385" s="9" t="n">
        <f aca="false">IFERROR(__xludf.dummyfunction("""COMPUTED_VALUE"""),28000)</f>
        <v>28000</v>
      </c>
      <c r="G385" s="2" t="n">
        <f aca="false">IFERROR(__xludf.dummyfunction("""COMPUTED_VALUE"""),30)</f>
        <v>30</v>
      </c>
      <c r="H385" s="2" t="n">
        <f aca="false">IFERROR(__xludf.dummyfunction("""COMPUTED_VALUE"""),30)</f>
        <v>30</v>
      </c>
      <c r="I385" s="9" t="n">
        <f aca="false">IFERROR(__xludf.dummyfunction("""COMPUTED_VALUE"""),336000)</f>
        <v>336000</v>
      </c>
      <c r="J385" s="9" t="n">
        <f aca="false">IFERROR(__xludf.dummyfunction("""COMPUTED_VALUE"""),191)</f>
        <v>191</v>
      </c>
      <c r="K385" s="9"/>
      <c r="L385" s="9" t="n">
        <f aca="false">IFERROR(__xludf.dummyfunction("""COMPUTED_VALUE"""),0)</f>
        <v>0</v>
      </c>
      <c r="M385" s="9"/>
    </row>
    <row r="386" customFormat="false" ht="15.75" hidden="false" customHeight="false" outlineLevel="0" collapsed="false">
      <c r="A386" s="2" t="str">
        <f aca="false">IFERROR(__xludf.dummyfunction("""COMPUTED_VALUE"""),"SHKJ/KAN/1170")</f>
        <v>SHKJ/KAN/1170</v>
      </c>
      <c r="B386" s="2" t="str">
        <f aca="false">IFERROR(__xludf.dummyfunction("""COMPUTED_VALUE"""),"Kummari Arun")</f>
        <v>Kummari Arun</v>
      </c>
      <c r="C386" s="2" t="str">
        <f aca="false">IFERROR(__xludf.dummyfunction("""COMPUTED_VALUE"""),"Men &amp; Machines")</f>
        <v>Men &amp; Machines</v>
      </c>
      <c r="D386" s="2" t="str">
        <f aca="false">IFERROR(__xludf.dummyfunction("""COMPUTED_VALUE"""),"Kanha")</f>
        <v>Kanha</v>
      </c>
      <c r="E386" s="16" t="n">
        <f aca="false">IFERROR(__xludf.dummyfunction("""COMPUTED_VALUE"""),43672)</f>
        <v>43672</v>
      </c>
      <c r="F386" s="9" t="n">
        <f aca="false">IFERROR(__xludf.dummyfunction("""COMPUTED_VALUE"""),15000)</f>
        <v>15000</v>
      </c>
      <c r="G386" s="2" t="n">
        <f aca="false">IFERROR(__xludf.dummyfunction("""COMPUTED_VALUE"""),30)</f>
        <v>30</v>
      </c>
      <c r="H386" s="2" t="n">
        <f aca="false">IFERROR(__xludf.dummyfunction("""COMPUTED_VALUE"""),30)</f>
        <v>30</v>
      </c>
      <c r="I386" s="9" t="n">
        <f aca="false">IFERROR(__xludf.dummyfunction("""COMPUTED_VALUE"""),180000)</f>
        <v>180000</v>
      </c>
      <c r="J386" s="9" t="n">
        <f aca="false">IFERROR(__xludf.dummyfunction("""COMPUTED_VALUE"""),63)</f>
        <v>63</v>
      </c>
      <c r="K386" s="9"/>
      <c r="L386" s="9" t="n">
        <f aca="false">IFERROR(__xludf.dummyfunction("""COMPUTED_VALUE"""),0)</f>
        <v>0</v>
      </c>
      <c r="M386" s="9"/>
    </row>
    <row r="387" customFormat="false" ht="15.75" hidden="false" customHeight="false" outlineLevel="0" collapsed="false">
      <c r="A387" s="2" t="str">
        <f aca="false">IFERROR(__xludf.dummyfunction("""COMPUTED_VALUE"""),"SHKJ/KAN/1171")</f>
        <v>SHKJ/KAN/1171</v>
      </c>
      <c r="B387" s="2" t="str">
        <f aca="false">IFERROR(__xludf.dummyfunction("""COMPUTED_VALUE"""),"Radheshyam")</f>
        <v>Radheshyam</v>
      </c>
      <c r="C387" s="2" t="str">
        <f aca="false">IFERROR(__xludf.dummyfunction("""COMPUTED_VALUE"""),"Men &amp; Machines")</f>
        <v>Men &amp; Machines</v>
      </c>
      <c r="D387" s="2" t="str">
        <f aca="false">IFERROR(__xludf.dummyfunction("""COMPUTED_VALUE"""),"Kanha")</f>
        <v>Kanha</v>
      </c>
      <c r="E387" s="16" t="n">
        <f aca="false">IFERROR(__xludf.dummyfunction("""COMPUTED_VALUE"""),43672)</f>
        <v>43672</v>
      </c>
      <c r="F387" s="9" t="n">
        <f aca="false">IFERROR(__xludf.dummyfunction("""COMPUTED_VALUE"""),10500)</f>
        <v>10500</v>
      </c>
      <c r="G387" s="2" t="n">
        <f aca="false">IFERROR(__xludf.dummyfunction("""COMPUTED_VALUE"""),30)</f>
        <v>30</v>
      </c>
      <c r="H387" s="2" t="n">
        <f aca="false">IFERROR(__xludf.dummyfunction("""COMPUTED_VALUE"""),30)</f>
        <v>30</v>
      </c>
      <c r="I387" s="9" t="n">
        <f aca="false">IFERROR(__xludf.dummyfunction("""COMPUTED_VALUE"""),126000)</f>
        <v>126000</v>
      </c>
      <c r="J387" s="9" t="n">
        <f aca="false">IFERROR(__xludf.dummyfunction("""COMPUTED_VALUE"""),380)</f>
        <v>380</v>
      </c>
      <c r="K387" s="9"/>
      <c r="L387" s="9" t="n">
        <f aca="false">IFERROR(__xludf.dummyfunction("""COMPUTED_VALUE"""),0)</f>
        <v>0</v>
      </c>
      <c r="M387" s="9"/>
    </row>
    <row r="388" customFormat="false" ht="15.75" hidden="false" customHeight="false" outlineLevel="0" collapsed="false">
      <c r="A388" s="2" t="str">
        <f aca="false">IFERROR(__xludf.dummyfunction("""COMPUTED_VALUE"""),"SHKJ/KAN/1172")</f>
        <v>SHKJ/KAN/1172</v>
      </c>
      <c r="B388" s="2" t="str">
        <f aca="false">IFERROR(__xludf.dummyfunction("""COMPUTED_VALUE"""),"Baleshwar Yadav")</f>
        <v>Baleshwar Yadav</v>
      </c>
      <c r="C388" s="2" t="str">
        <f aca="false">IFERROR(__xludf.dummyfunction("""COMPUTED_VALUE"""),"Men &amp; Machines")</f>
        <v>Men &amp; Machines</v>
      </c>
      <c r="D388" s="2" t="str">
        <f aca="false">IFERROR(__xludf.dummyfunction("""COMPUTED_VALUE"""),"Kanha")</f>
        <v>Kanha</v>
      </c>
      <c r="E388" s="16" t="n">
        <f aca="false">IFERROR(__xludf.dummyfunction("""COMPUTED_VALUE"""),43672)</f>
        <v>43672</v>
      </c>
      <c r="F388" s="9" t="n">
        <f aca="false">IFERROR(__xludf.dummyfunction("""COMPUTED_VALUE"""),17000)</f>
        <v>17000</v>
      </c>
      <c r="G388" s="2" t="n">
        <f aca="false">IFERROR(__xludf.dummyfunction("""COMPUTED_VALUE"""),30)</f>
        <v>30</v>
      </c>
      <c r="H388" s="2" t="n">
        <f aca="false">IFERROR(__xludf.dummyfunction("""COMPUTED_VALUE"""),30)</f>
        <v>30</v>
      </c>
      <c r="I388" s="9" t="n">
        <f aca="false">IFERROR(__xludf.dummyfunction("""COMPUTED_VALUE"""),204000)</f>
        <v>204000</v>
      </c>
      <c r="J388" s="9" t="n">
        <f aca="false">IFERROR(__xludf.dummyfunction("""COMPUTED_VALUE"""),115)</f>
        <v>115</v>
      </c>
      <c r="K388" s="9"/>
      <c r="L388" s="9" t="n">
        <f aca="false">IFERROR(__xludf.dummyfunction("""COMPUTED_VALUE"""),0)</f>
        <v>0</v>
      </c>
      <c r="M388" s="9"/>
    </row>
    <row r="389" customFormat="false" ht="15.75" hidden="false" customHeight="false" outlineLevel="0" collapsed="false">
      <c r="A389" s="2" t="str">
        <f aca="false">IFERROR(__xludf.dummyfunction("""COMPUTED_VALUE"""),"SHKJ/KAN/1173")</f>
        <v>SHKJ/KAN/1173</v>
      </c>
      <c r="B389" s="2" t="str">
        <f aca="false">IFERROR(__xludf.dummyfunction("""COMPUTED_VALUE"""),"Gangadhar Maroti Kokate")</f>
        <v>Gangadhar Maroti Kokate</v>
      </c>
      <c r="C389" s="2" t="str">
        <f aca="false">IFERROR(__xludf.dummyfunction("""COMPUTED_VALUE"""),"Men &amp; Machines")</f>
        <v>Men &amp; Machines</v>
      </c>
      <c r="D389" s="2" t="str">
        <f aca="false">IFERROR(__xludf.dummyfunction("""COMPUTED_VALUE"""),"Kanha")</f>
        <v>Kanha</v>
      </c>
      <c r="E389" s="16" t="n">
        <f aca="false">IFERROR(__xludf.dummyfunction("""COMPUTED_VALUE"""),43672)</f>
        <v>43672</v>
      </c>
      <c r="F389" s="9" t="n">
        <f aca="false">IFERROR(__xludf.dummyfunction("""COMPUTED_VALUE"""),17000)</f>
        <v>17000</v>
      </c>
      <c r="G389" s="2" t="n">
        <f aca="false">IFERROR(__xludf.dummyfunction("""COMPUTED_VALUE"""),30)</f>
        <v>30</v>
      </c>
      <c r="H389" s="2" t="n">
        <f aca="false">IFERROR(__xludf.dummyfunction("""COMPUTED_VALUE"""),30)</f>
        <v>30</v>
      </c>
      <c r="I389" s="9" t="n">
        <f aca="false">IFERROR(__xludf.dummyfunction("""COMPUTED_VALUE"""),204000)</f>
        <v>204000</v>
      </c>
      <c r="J389" s="9" t="n">
        <f aca="false">IFERROR(__xludf.dummyfunction("""COMPUTED_VALUE"""),63)</f>
        <v>63</v>
      </c>
      <c r="K389" s="9"/>
      <c r="L389" s="9" t="n">
        <f aca="false">IFERROR(__xludf.dummyfunction("""COMPUTED_VALUE"""),0)</f>
        <v>0</v>
      </c>
      <c r="M389" s="9"/>
    </row>
    <row r="390" customFormat="false" ht="15.75" hidden="false" customHeight="false" outlineLevel="0" collapsed="false">
      <c r="A390" s="2" t="str">
        <f aca="false">IFERROR(__xludf.dummyfunction("""COMPUTED_VALUE"""),"SHKJ/KAN/1174")</f>
        <v>SHKJ/KAN/1174</v>
      </c>
      <c r="B390" s="2" t="str">
        <f aca="false">IFERROR(__xludf.dummyfunction("""COMPUTED_VALUE"""),"Ashruba Pralhad Kangne")</f>
        <v>Ashruba Pralhad Kangne</v>
      </c>
      <c r="C390" s="2" t="str">
        <f aca="false">IFERROR(__xludf.dummyfunction("""COMPUTED_VALUE"""),"Men &amp; Machines")</f>
        <v>Men &amp; Machines</v>
      </c>
      <c r="D390" s="2" t="str">
        <f aca="false">IFERROR(__xludf.dummyfunction("""COMPUTED_VALUE"""),"Kanha")</f>
        <v>Kanha</v>
      </c>
      <c r="E390" s="16" t="n">
        <f aca="false">IFERROR(__xludf.dummyfunction("""COMPUTED_VALUE"""),43672)</f>
        <v>43672</v>
      </c>
      <c r="F390" s="9" t="n">
        <f aca="false">IFERROR(__xludf.dummyfunction("""COMPUTED_VALUE"""),17000)</f>
        <v>17000</v>
      </c>
      <c r="G390" s="2" t="n">
        <f aca="false">IFERROR(__xludf.dummyfunction("""COMPUTED_VALUE"""),30)</f>
        <v>30</v>
      </c>
      <c r="H390" s="2" t="n">
        <f aca="false">IFERROR(__xludf.dummyfunction("""COMPUTED_VALUE"""),30)</f>
        <v>30</v>
      </c>
      <c r="I390" s="9" t="n">
        <f aca="false">IFERROR(__xludf.dummyfunction("""COMPUTED_VALUE"""),204000)</f>
        <v>204000</v>
      </c>
      <c r="J390" s="9" t="n">
        <f aca="false">IFERROR(__xludf.dummyfunction("""COMPUTED_VALUE"""),95)</f>
        <v>95</v>
      </c>
      <c r="K390" s="9"/>
      <c r="L390" s="9" t="n">
        <f aca="false">IFERROR(__xludf.dummyfunction("""COMPUTED_VALUE"""),0)</f>
        <v>0</v>
      </c>
      <c r="M390" s="9"/>
    </row>
    <row r="391" customFormat="false" ht="15.75" hidden="false" customHeight="false" outlineLevel="0" collapsed="false">
      <c r="A391" s="2" t="str">
        <f aca="false">IFERROR(__xludf.dummyfunction("""COMPUTED_VALUE"""),"SHKJ/KAN/1175")</f>
        <v>SHKJ/KAN/1175</v>
      </c>
      <c r="B391" s="2" t="str">
        <f aca="false">IFERROR(__xludf.dummyfunction("""COMPUTED_VALUE"""),"Vadla Vijay")</f>
        <v>Vadla Vijay</v>
      </c>
      <c r="C391" s="2" t="str">
        <f aca="false">IFERROR(__xludf.dummyfunction("""COMPUTED_VALUE"""),"Men &amp; Machines")</f>
        <v>Men &amp; Machines</v>
      </c>
      <c r="D391" s="2" t="str">
        <f aca="false">IFERROR(__xludf.dummyfunction("""COMPUTED_VALUE"""),"Kanha")</f>
        <v>Kanha</v>
      </c>
      <c r="E391" s="16" t="n">
        <f aca="false">IFERROR(__xludf.dummyfunction("""COMPUTED_VALUE"""),43672)</f>
        <v>43672</v>
      </c>
      <c r="F391" s="9" t="n">
        <f aca="false">IFERROR(__xludf.dummyfunction("""COMPUTED_VALUE"""),12000)</f>
        <v>12000</v>
      </c>
      <c r="G391" s="2" t="n">
        <f aca="false">IFERROR(__xludf.dummyfunction("""COMPUTED_VALUE"""),30)</f>
        <v>30</v>
      </c>
      <c r="H391" s="2" t="n">
        <f aca="false">IFERROR(__xludf.dummyfunction("""COMPUTED_VALUE"""),30)</f>
        <v>30</v>
      </c>
      <c r="I391" s="9" t="n">
        <f aca="false">IFERROR(__xludf.dummyfunction("""COMPUTED_VALUE"""),144000)</f>
        <v>144000</v>
      </c>
      <c r="J391" s="9" t="n">
        <f aca="false">IFERROR(__xludf.dummyfunction("""COMPUTED_VALUE"""),63)</f>
        <v>63</v>
      </c>
      <c r="K391" s="9"/>
      <c r="L391" s="9" t="n">
        <f aca="false">IFERROR(__xludf.dummyfunction("""COMPUTED_VALUE"""),0)</f>
        <v>0</v>
      </c>
      <c r="M391" s="9"/>
    </row>
    <row r="392" customFormat="false" ht="15.75" hidden="false" customHeight="false" outlineLevel="0" collapsed="false">
      <c r="A392" s="2" t="str">
        <f aca="false">IFERROR(__xludf.dummyfunction("""COMPUTED_VALUE"""),"SHKJ/KAN/1176")</f>
        <v>SHKJ/KAN/1176</v>
      </c>
      <c r="B392" s="2" t="str">
        <f aca="false">IFERROR(__xludf.dummyfunction("""COMPUTED_VALUE"""),"Mannu Rajbhar")</f>
        <v>Mannu Rajbhar</v>
      </c>
      <c r="C392" s="2" t="str">
        <f aca="false">IFERROR(__xludf.dummyfunction("""COMPUTED_VALUE"""),"Men &amp; Machines")</f>
        <v>Men &amp; Machines</v>
      </c>
      <c r="D392" s="2" t="str">
        <f aca="false">IFERROR(__xludf.dummyfunction("""COMPUTED_VALUE"""),"Kanha")</f>
        <v>Kanha</v>
      </c>
      <c r="E392" s="16" t="n">
        <f aca="false">IFERROR(__xludf.dummyfunction("""COMPUTED_VALUE"""),43672)</f>
        <v>43672</v>
      </c>
      <c r="F392" s="9" t="n">
        <f aca="false">IFERROR(__xludf.dummyfunction("""COMPUTED_VALUE"""),19000)</f>
        <v>19000</v>
      </c>
      <c r="G392" s="2" t="n">
        <f aca="false">IFERROR(__xludf.dummyfunction("""COMPUTED_VALUE"""),30)</f>
        <v>30</v>
      </c>
      <c r="H392" s="2" t="n">
        <f aca="false">IFERROR(__xludf.dummyfunction("""COMPUTED_VALUE"""),30)</f>
        <v>30</v>
      </c>
      <c r="I392" s="9" t="n">
        <f aca="false">IFERROR(__xludf.dummyfunction("""COMPUTED_VALUE"""),228000)</f>
        <v>228000</v>
      </c>
      <c r="J392" s="9" t="n">
        <f aca="false">IFERROR(__xludf.dummyfunction("""COMPUTED_VALUE"""),95)</f>
        <v>95</v>
      </c>
      <c r="K392" s="9"/>
      <c r="L392" s="9" t="n">
        <f aca="false">IFERROR(__xludf.dummyfunction("""COMPUTED_VALUE"""),0)</f>
        <v>0</v>
      </c>
      <c r="M392" s="9"/>
    </row>
    <row r="393" customFormat="false" ht="15.75" hidden="false" customHeight="false" outlineLevel="0" collapsed="false">
      <c r="A393" s="2" t="str">
        <f aca="false">IFERROR(__xludf.dummyfunction("""COMPUTED_VALUE"""),"SHKJ/KAN/1188")</f>
        <v>SHKJ/KAN/1188</v>
      </c>
      <c r="B393" s="2" t="str">
        <f aca="false">IFERROR(__xludf.dummyfunction("""COMPUTED_VALUE"""),"Avinash Kumar Singh")</f>
        <v>Avinash Kumar Singh</v>
      </c>
      <c r="C393" s="2" t="str">
        <f aca="false">IFERROR(__xludf.dummyfunction("""COMPUTED_VALUE"""),"Civil")</f>
        <v>Civil</v>
      </c>
      <c r="D393" s="2" t="str">
        <f aca="false">IFERROR(__xludf.dummyfunction("""COMPUTED_VALUE"""),"Kanha")</f>
        <v>Kanha</v>
      </c>
      <c r="E393" s="16" t="n">
        <f aca="false">IFERROR(__xludf.dummyfunction("""COMPUTED_VALUE"""),43672)</f>
        <v>43672</v>
      </c>
      <c r="F393" s="9" t="n">
        <f aca="false">IFERROR(__xludf.dummyfunction("""COMPUTED_VALUE"""),15000)</f>
        <v>15000</v>
      </c>
      <c r="G393" s="2" t="n">
        <f aca="false">IFERROR(__xludf.dummyfunction("""COMPUTED_VALUE"""),30)</f>
        <v>30</v>
      </c>
      <c r="H393" s="2" t="n">
        <f aca="false">IFERROR(__xludf.dummyfunction("""COMPUTED_VALUE"""),30)</f>
        <v>30</v>
      </c>
      <c r="I393" s="9" t="n">
        <f aca="false">IFERROR(__xludf.dummyfunction("""COMPUTED_VALUE"""),180000)</f>
        <v>180000</v>
      </c>
      <c r="J393" s="9" t="n">
        <f aca="false">IFERROR(__xludf.dummyfunction("""COMPUTED_VALUE"""),191)</f>
        <v>191</v>
      </c>
      <c r="K393" s="9"/>
      <c r="L393" s="9" t="n">
        <f aca="false">IFERROR(__xludf.dummyfunction("""COMPUTED_VALUE"""),0)</f>
        <v>0</v>
      </c>
      <c r="M393" s="9"/>
    </row>
    <row r="394" customFormat="false" ht="15.75" hidden="false" customHeight="false" outlineLevel="0" collapsed="false">
      <c r="A394" s="2" t="str">
        <f aca="false">IFERROR(__xludf.dummyfunction("""COMPUTED_VALUE"""),"SHKJ/KAN/1191")</f>
        <v>SHKJ/KAN/1191</v>
      </c>
      <c r="B394" s="2" t="str">
        <f aca="false">IFERROR(__xludf.dummyfunction("""COMPUTED_VALUE"""),"Aranganayagam")</f>
        <v>Aranganayagam</v>
      </c>
      <c r="C394" s="2" t="str">
        <f aca="false">IFERROR(__xludf.dummyfunction("""COMPUTED_VALUE"""),"Civil")</f>
        <v>Civil</v>
      </c>
      <c r="D394" s="2" t="str">
        <f aca="false">IFERROR(__xludf.dummyfunction("""COMPUTED_VALUE"""),"Kanha")</f>
        <v>Kanha</v>
      </c>
      <c r="E394" s="16" t="n">
        <f aca="false">IFERROR(__xludf.dummyfunction("""COMPUTED_VALUE"""),43678)</f>
        <v>43678</v>
      </c>
      <c r="F394" s="9" t="n">
        <f aca="false">IFERROR(__xludf.dummyfunction("""COMPUTED_VALUE"""),16500)</f>
        <v>16500</v>
      </c>
      <c r="G394" s="2" t="n">
        <f aca="false">IFERROR(__xludf.dummyfunction("""COMPUTED_VALUE"""),30)</f>
        <v>30</v>
      </c>
      <c r="H394" s="2" t="n">
        <f aca="false">IFERROR(__xludf.dummyfunction("""COMPUTED_VALUE"""),30)</f>
        <v>30</v>
      </c>
      <c r="I394" s="9" t="n">
        <f aca="false">IFERROR(__xludf.dummyfunction("""COMPUTED_VALUE"""),198000)</f>
        <v>198000</v>
      </c>
      <c r="J394" s="9" t="n">
        <f aca="false">IFERROR(__xludf.dummyfunction("""COMPUTED_VALUE"""),95)</f>
        <v>95</v>
      </c>
      <c r="K394" s="9"/>
      <c r="L394" s="9" t="n">
        <f aca="false">IFERROR(__xludf.dummyfunction("""COMPUTED_VALUE"""),0)</f>
        <v>0</v>
      </c>
      <c r="M394" s="9"/>
    </row>
    <row r="395" customFormat="false" ht="15.75" hidden="false" customHeight="false" outlineLevel="0" collapsed="false">
      <c r="A395" s="2" t="str">
        <f aca="false">IFERROR(__xludf.dummyfunction("""COMPUTED_VALUE"""),"SMSF/KAN/0230")</f>
        <v>SMSF/KAN/0230</v>
      </c>
      <c r="B395" s="2" t="str">
        <f aca="false">IFERROR(__xludf.dummyfunction("""COMPUTED_VALUE"""),"LINGAM CHILUKURI")</f>
        <v>LINGAM CHILUKURI</v>
      </c>
      <c r="C395" s="2" t="str">
        <f aca="false">IFERROR(__xludf.dummyfunction("""COMPUTED_VALUE"""),"Men &amp; Machines")</f>
        <v>Men &amp; Machines</v>
      </c>
      <c r="D395" s="2" t="str">
        <f aca="false">IFERROR(__xludf.dummyfunction("""COMPUTED_VALUE"""),"Kanha")</f>
        <v>Kanha</v>
      </c>
      <c r="E395" s="16" t="n">
        <f aca="false">IFERROR(__xludf.dummyfunction("""COMPUTED_VALUE"""),42353)</f>
        <v>42353</v>
      </c>
      <c r="F395" s="9" t="n">
        <f aca="false">IFERROR(__xludf.dummyfunction("""COMPUTED_VALUE"""),17738)</f>
        <v>17738</v>
      </c>
      <c r="G395" s="2" t="n">
        <f aca="false">IFERROR(__xludf.dummyfunction("""COMPUTED_VALUE"""),30)</f>
        <v>30</v>
      </c>
      <c r="H395" s="2" t="n">
        <f aca="false">IFERROR(__xludf.dummyfunction("""COMPUTED_VALUE"""),30)</f>
        <v>30</v>
      </c>
      <c r="I395" s="9" t="n">
        <f aca="false">IFERROR(__xludf.dummyfunction("""COMPUTED_VALUE"""),212856)</f>
        <v>212856</v>
      </c>
      <c r="J395" s="9" t="n">
        <f aca="false">IFERROR(__xludf.dummyfunction("""COMPUTED_VALUE"""),0)</f>
        <v>0</v>
      </c>
      <c r="K395" s="9"/>
      <c r="L395" s="9" t="n">
        <f aca="false">IFERROR(__xludf.dummyfunction("""COMPUTED_VALUE"""),0)</f>
        <v>0</v>
      </c>
      <c r="M395" s="9"/>
    </row>
    <row r="396" customFormat="false" ht="15.75" hidden="false" customHeight="false" outlineLevel="0" collapsed="false">
      <c r="A396" s="2" t="str">
        <f aca="false">IFERROR(__xludf.dummyfunction("""COMPUTED_VALUE"""),"SMSF/KAN/0233")</f>
        <v>SMSF/KAN/0233</v>
      </c>
      <c r="B396" s="2" t="str">
        <f aca="false">IFERROR(__xludf.dummyfunction("""COMPUTED_VALUE"""),"POTHUGANTI SRINIVAS")</f>
        <v>POTHUGANTI SRINIVAS</v>
      </c>
      <c r="C396" s="2" t="str">
        <f aca="false">IFERROR(__xludf.dummyfunction("""COMPUTED_VALUE"""),"Men &amp; Machines")</f>
        <v>Men &amp; Machines</v>
      </c>
      <c r="D396" s="2" t="str">
        <f aca="false">IFERROR(__xludf.dummyfunction("""COMPUTED_VALUE"""),"Kanha")</f>
        <v>Kanha</v>
      </c>
      <c r="E396" s="16" t="n">
        <f aca="false">IFERROR(__xludf.dummyfunction("""COMPUTED_VALUE"""),40555)</f>
        <v>40555</v>
      </c>
      <c r="F396" s="9" t="n">
        <f aca="false">IFERROR(__xludf.dummyfunction("""COMPUTED_VALUE"""),15588)</f>
        <v>15588</v>
      </c>
      <c r="G396" s="2" t="n">
        <f aca="false">IFERROR(__xludf.dummyfunction("""COMPUTED_VALUE"""),30)</f>
        <v>30</v>
      </c>
      <c r="H396" s="2" t="n">
        <f aca="false">IFERROR(__xludf.dummyfunction("""COMPUTED_VALUE"""),30)</f>
        <v>30</v>
      </c>
      <c r="I396" s="9" t="n">
        <f aca="false">IFERROR(__xludf.dummyfunction("""COMPUTED_VALUE"""),187056)</f>
        <v>187056</v>
      </c>
      <c r="J396" s="9" t="n">
        <f aca="false">IFERROR(__xludf.dummyfunction("""COMPUTED_VALUE"""),317)</f>
        <v>317</v>
      </c>
      <c r="K396" s="9"/>
      <c r="L396" s="9" t="n">
        <f aca="false">IFERROR(__xludf.dummyfunction("""COMPUTED_VALUE"""),0)</f>
        <v>0</v>
      </c>
      <c r="M396" s="9"/>
    </row>
    <row r="397" customFormat="false" ht="15.75" hidden="false" customHeight="false" outlineLevel="0" collapsed="false">
      <c r="A397" s="2" t="str">
        <f aca="false">IFERROR(__xludf.dummyfunction("""COMPUTED_VALUE"""),"SMSF/KAN/0566")</f>
        <v>SMSF/KAN/0566</v>
      </c>
      <c r="B397" s="2" t="str">
        <f aca="false">IFERROR(__xludf.dummyfunction("""COMPUTED_VALUE"""),"GADDAM SIDDI RAMULU")</f>
        <v>GADDAM SIDDI RAMULU</v>
      </c>
      <c r="C397" s="2" t="str">
        <f aca="false">IFERROR(__xludf.dummyfunction("""COMPUTED_VALUE"""),"Men &amp; Machines")</f>
        <v>Men &amp; Machines</v>
      </c>
      <c r="D397" s="2" t="str">
        <f aca="false">IFERROR(__xludf.dummyfunction("""COMPUTED_VALUE"""),"Kanha")</f>
        <v>Kanha</v>
      </c>
      <c r="E397" s="16" t="n">
        <f aca="false">IFERROR(__xludf.dummyfunction("""COMPUTED_VALUE"""),42379)</f>
        <v>42379</v>
      </c>
      <c r="F397" s="9" t="n">
        <f aca="false">IFERROR(__xludf.dummyfunction("""COMPUTED_VALUE"""),16500)</f>
        <v>16500</v>
      </c>
      <c r="G397" s="2" t="n">
        <f aca="false">IFERROR(__xludf.dummyfunction("""COMPUTED_VALUE"""),30)</f>
        <v>30</v>
      </c>
      <c r="H397" s="2" t="n">
        <f aca="false">IFERROR(__xludf.dummyfunction("""COMPUTED_VALUE"""),30)</f>
        <v>30</v>
      </c>
      <c r="I397" s="9" t="n">
        <f aca="false">IFERROR(__xludf.dummyfunction("""COMPUTED_VALUE"""),198000)</f>
        <v>198000</v>
      </c>
      <c r="J397" s="9" t="n">
        <f aca="false">IFERROR(__xludf.dummyfunction("""COMPUTED_VALUE"""),550)</f>
        <v>550</v>
      </c>
      <c r="K397" s="9"/>
      <c r="L397" s="9" t="n">
        <f aca="false">IFERROR(__xludf.dummyfunction("""COMPUTED_VALUE"""),0)</f>
        <v>0</v>
      </c>
      <c r="M397" s="9"/>
    </row>
    <row r="398" customFormat="false" ht="15.75" hidden="false" customHeight="false" outlineLevel="0" collapsed="false">
      <c r="A398" s="2" t="str">
        <f aca="false">IFERROR(__xludf.dummyfunction("""COMPUTED_VALUE"""),"SMSF/KAN/0236")</f>
        <v>SMSF/KAN/0236</v>
      </c>
      <c r="B398" s="2" t="str">
        <f aca="false">IFERROR(__xludf.dummyfunction("""COMPUTED_VALUE"""),"VENKATAIAH BUGGA")</f>
        <v>VENKATAIAH BUGGA</v>
      </c>
      <c r="C398" s="2" t="str">
        <f aca="false">IFERROR(__xludf.dummyfunction("""COMPUTED_VALUE"""),"Men &amp; Machines")</f>
        <v>Men &amp; Machines</v>
      </c>
      <c r="D398" s="2" t="str">
        <f aca="false">IFERROR(__xludf.dummyfunction("""COMPUTED_VALUE"""),"Kanha")</f>
        <v>Kanha</v>
      </c>
      <c r="E398" s="16" t="n">
        <f aca="false">IFERROR(__xludf.dummyfunction("""COMPUTED_VALUE"""),42353)</f>
        <v>42353</v>
      </c>
      <c r="F398" s="9" t="n">
        <f aca="false">IFERROR(__xludf.dummyfunction("""COMPUTED_VALUE"""),17000)</f>
        <v>17000</v>
      </c>
      <c r="G398" s="2" t="n">
        <f aca="false">IFERROR(__xludf.dummyfunction("""COMPUTED_VALUE"""),30)</f>
        <v>30</v>
      </c>
      <c r="H398" s="2" t="n">
        <f aca="false">IFERROR(__xludf.dummyfunction("""COMPUTED_VALUE"""),30)</f>
        <v>30</v>
      </c>
      <c r="I398" s="9" t="n">
        <f aca="false">IFERROR(__xludf.dummyfunction("""COMPUTED_VALUE"""),204000)</f>
        <v>204000</v>
      </c>
      <c r="J398" s="9" t="n">
        <f aca="false">IFERROR(__xludf.dummyfunction("""COMPUTED_VALUE"""),389)</f>
        <v>389</v>
      </c>
      <c r="K398" s="9"/>
      <c r="L398" s="9" t="n">
        <f aca="false">IFERROR(__xludf.dummyfunction("""COMPUTED_VALUE"""),0)</f>
        <v>0</v>
      </c>
      <c r="M398" s="9"/>
    </row>
    <row r="399" customFormat="false" ht="15.75" hidden="false" customHeight="false" outlineLevel="0" collapsed="false">
      <c r="A399" s="2" t="str">
        <f aca="false">IFERROR(__xludf.dummyfunction("""COMPUTED_VALUE"""),"SMSF/KAN/0568")</f>
        <v>SMSF/KAN/0568</v>
      </c>
      <c r="B399" s="2" t="str">
        <f aca="false">IFERROR(__xludf.dummyfunction("""COMPUTED_VALUE"""),"KADAKATLA RAJU")</f>
        <v>KADAKATLA RAJU</v>
      </c>
      <c r="C399" s="2" t="str">
        <f aca="false">IFERROR(__xludf.dummyfunction("""COMPUTED_VALUE"""),"Men &amp; Machines")</f>
        <v>Men &amp; Machines</v>
      </c>
      <c r="D399" s="2" t="str">
        <f aca="false">IFERROR(__xludf.dummyfunction("""COMPUTED_VALUE"""),"Kanha")</f>
        <v>Kanha</v>
      </c>
      <c r="E399" s="16" t="n">
        <f aca="false">IFERROR(__xludf.dummyfunction("""COMPUTED_VALUE"""),42565)</f>
        <v>42565</v>
      </c>
      <c r="F399" s="9" t="n">
        <f aca="false">IFERROR(__xludf.dummyfunction("""COMPUTED_VALUE"""),20425)</f>
        <v>20425</v>
      </c>
      <c r="G399" s="2" t="n">
        <f aca="false">IFERROR(__xludf.dummyfunction("""COMPUTED_VALUE"""),30)</f>
        <v>30</v>
      </c>
      <c r="H399" s="2" t="n">
        <f aca="false">IFERROR(__xludf.dummyfunction("""COMPUTED_VALUE"""),30)</f>
        <v>30</v>
      </c>
      <c r="I399" s="9" t="n">
        <f aca="false">IFERROR(__xludf.dummyfunction("""COMPUTED_VALUE"""),245100)</f>
        <v>245100</v>
      </c>
      <c r="J399" s="9" t="n">
        <f aca="false">IFERROR(__xludf.dummyfunction("""COMPUTED_VALUE"""),158)</f>
        <v>158</v>
      </c>
      <c r="K399" s="9"/>
      <c r="L399" s="9" t="n">
        <f aca="false">IFERROR(__xludf.dummyfunction("""COMPUTED_VALUE"""),0)</f>
        <v>0</v>
      </c>
      <c r="M399" s="9"/>
    </row>
    <row r="400" customFormat="false" ht="15.75" hidden="false" customHeight="false" outlineLevel="0" collapsed="false">
      <c r="A400" s="2" t="str">
        <f aca="false">IFERROR(__xludf.dummyfunction("""COMPUTED_VALUE"""),"SMSF/KAN/0576")</f>
        <v>SMSF/KAN/0576</v>
      </c>
      <c r="B400" s="2" t="str">
        <f aca="false">IFERROR(__xludf.dummyfunction("""COMPUTED_VALUE"""),"POTHUGANTI PARVATAIAH/PARVATHALU")</f>
        <v>POTHUGANTI PARVATAIAH/PARVATHALU</v>
      </c>
      <c r="C400" s="2" t="str">
        <f aca="false">IFERROR(__xludf.dummyfunction("""COMPUTED_VALUE"""),"Men &amp; Machines")</f>
        <v>Men &amp; Machines</v>
      </c>
      <c r="D400" s="2" t="str">
        <f aca="false">IFERROR(__xludf.dummyfunction("""COMPUTED_VALUE"""),"Kanha")</f>
        <v>Kanha</v>
      </c>
      <c r="E400" s="16" t="n">
        <f aca="false">IFERROR(__xludf.dummyfunction("""COMPUTED_VALUE"""),42761)</f>
        <v>42761</v>
      </c>
      <c r="F400" s="9" t="n">
        <f aca="false">IFERROR(__xludf.dummyfunction("""COMPUTED_VALUE"""),11287)</f>
        <v>11287</v>
      </c>
      <c r="G400" s="2" t="n">
        <f aca="false">IFERROR(__xludf.dummyfunction("""COMPUTED_VALUE"""),30)</f>
        <v>30</v>
      </c>
      <c r="H400" s="2" t="n">
        <f aca="false">IFERROR(__xludf.dummyfunction("""COMPUTED_VALUE"""),30)</f>
        <v>30</v>
      </c>
      <c r="I400" s="9" t="n">
        <f aca="false">IFERROR(__xludf.dummyfunction("""COMPUTED_VALUE"""),135444)</f>
        <v>135444</v>
      </c>
      <c r="J400" s="9" t="n">
        <f aca="false">IFERROR(__xludf.dummyfunction("""COMPUTED_VALUE"""),317)</f>
        <v>317</v>
      </c>
      <c r="K400" s="9"/>
      <c r="L400" s="9" t="n">
        <f aca="false">IFERROR(__xludf.dummyfunction("""COMPUTED_VALUE"""),0)</f>
        <v>0</v>
      </c>
      <c r="M400" s="9"/>
    </row>
    <row r="401" customFormat="false" ht="15.75" hidden="false" customHeight="false" outlineLevel="0" collapsed="false">
      <c r="A401" s="2" t="str">
        <f aca="false">IFERROR(__xludf.dummyfunction("""COMPUTED_VALUE"""),"SMSF/KAN/0140")</f>
        <v>SMSF/KAN/0140</v>
      </c>
      <c r="B401" s="2" t="str">
        <f aca="false">IFERROR(__xludf.dummyfunction("""COMPUTED_VALUE"""),"Donuri Pandu/D PANDAIAH")</f>
        <v>Donuri Pandu/D PANDAIAH</v>
      </c>
      <c r="C401" s="2" t="str">
        <f aca="false">IFERROR(__xludf.dummyfunction("""COMPUTED_VALUE"""),"Men &amp; Machines")</f>
        <v>Men &amp; Machines</v>
      </c>
      <c r="D401" s="2" t="str">
        <f aca="false">IFERROR(__xludf.dummyfunction("""COMPUTED_VALUE"""),"Kanha")</f>
        <v>Kanha</v>
      </c>
      <c r="E401" s="16" t="n">
        <f aca="false">IFERROR(__xludf.dummyfunction("""COMPUTED_VALUE"""),42761)</f>
        <v>42761</v>
      </c>
      <c r="F401" s="9" t="n">
        <f aca="false">IFERROR(__xludf.dummyfunction("""COMPUTED_VALUE"""),13975)</f>
        <v>13975</v>
      </c>
      <c r="G401" s="2" t="n">
        <f aca="false">IFERROR(__xludf.dummyfunction("""COMPUTED_VALUE"""),30)</f>
        <v>30</v>
      </c>
      <c r="H401" s="2" t="n">
        <f aca="false">IFERROR(__xludf.dummyfunction("""COMPUTED_VALUE"""),30)</f>
        <v>30</v>
      </c>
      <c r="I401" s="9" t="n">
        <f aca="false">IFERROR(__xludf.dummyfunction("""COMPUTED_VALUE"""),167700)</f>
        <v>167700</v>
      </c>
      <c r="J401" s="9" t="n">
        <f aca="false">IFERROR(__xludf.dummyfunction("""COMPUTED_VALUE"""),285)</f>
        <v>285</v>
      </c>
      <c r="K401" s="9"/>
      <c r="L401" s="9" t="n">
        <f aca="false">IFERROR(__xludf.dummyfunction("""COMPUTED_VALUE"""),0)</f>
        <v>0</v>
      </c>
      <c r="M401" s="9"/>
    </row>
    <row r="402" customFormat="false" ht="15.75" hidden="false" customHeight="false" outlineLevel="0" collapsed="false">
      <c r="A402" s="2" t="str">
        <f aca="false">IFERROR(__xludf.dummyfunction("""COMPUTED_VALUE"""),"SMSF/KAN/0142")</f>
        <v>SMSF/KAN/0142</v>
      </c>
      <c r="B402" s="2" t="str">
        <f aca="false">IFERROR(__xludf.dummyfunction("""COMPUTED_VALUE"""),"GUNUGURTHI LAKSHMAIAH")</f>
        <v>GUNUGURTHI LAKSHMAIAH</v>
      </c>
      <c r="C402" s="2" t="str">
        <f aca="false">IFERROR(__xludf.dummyfunction("""COMPUTED_VALUE"""),"Men &amp; Machines")</f>
        <v>Men &amp; Machines</v>
      </c>
      <c r="D402" s="2" t="str">
        <f aca="false">IFERROR(__xludf.dummyfunction("""COMPUTED_VALUE"""),"Kanha")</f>
        <v>Kanha</v>
      </c>
      <c r="E402" s="16" t="n">
        <f aca="false">IFERROR(__xludf.dummyfunction("""COMPUTED_VALUE"""),42761)</f>
        <v>42761</v>
      </c>
      <c r="F402" s="9" t="n">
        <f aca="false">IFERROR(__xludf.dummyfunction("""COMPUTED_VALUE"""),11610)</f>
        <v>11610</v>
      </c>
      <c r="G402" s="2" t="n">
        <f aca="false">IFERROR(__xludf.dummyfunction("""COMPUTED_VALUE"""),30)</f>
        <v>30</v>
      </c>
      <c r="H402" s="2" t="n">
        <f aca="false">IFERROR(__xludf.dummyfunction("""COMPUTED_VALUE"""),30)</f>
        <v>30</v>
      </c>
      <c r="I402" s="9" t="n">
        <f aca="false">IFERROR(__xludf.dummyfunction("""COMPUTED_VALUE"""),139320)</f>
        <v>139320</v>
      </c>
      <c r="J402" s="9" t="n">
        <f aca="false">IFERROR(__xludf.dummyfunction("""COMPUTED_VALUE"""),317)</f>
        <v>317</v>
      </c>
      <c r="K402" s="9"/>
      <c r="L402" s="9" t="n">
        <f aca="false">IFERROR(__xludf.dummyfunction("""COMPUTED_VALUE"""),0)</f>
        <v>0</v>
      </c>
      <c r="M402" s="9"/>
    </row>
    <row r="403" customFormat="false" ht="15.75" hidden="false" customHeight="false" outlineLevel="0" collapsed="false">
      <c r="A403" s="2" t="str">
        <f aca="false">IFERROR(__xludf.dummyfunction("""COMPUTED_VALUE"""),"SMSF/KAN/0147")</f>
        <v>SMSF/KAN/0147</v>
      </c>
      <c r="B403" s="2" t="str">
        <f aca="false">IFERROR(__xludf.dummyfunction("""COMPUTED_VALUE"""),"MOHAMMAD JAHANGEER")</f>
        <v>MOHAMMAD JAHANGEER</v>
      </c>
      <c r="C403" s="2" t="str">
        <f aca="false">IFERROR(__xludf.dummyfunction("""COMPUTED_VALUE"""),"Men &amp; Machines")</f>
        <v>Men &amp; Machines</v>
      </c>
      <c r="D403" s="2" t="str">
        <f aca="false">IFERROR(__xludf.dummyfunction("""COMPUTED_VALUE"""),"Kanha")</f>
        <v>Kanha</v>
      </c>
      <c r="E403" s="16" t="n">
        <f aca="false">IFERROR(__xludf.dummyfunction("""COMPUTED_VALUE"""),42761)</f>
        <v>42761</v>
      </c>
      <c r="F403" s="9" t="n">
        <f aca="false">IFERROR(__xludf.dummyfunction("""COMPUTED_VALUE"""),11287)</f>
        <v>11287</v>
      </c>
      <c r="G403" s="2" t="n">
        <f aca="false">IFERROR(__xludf.dummyfunction("""COMPUTED_VALUE"""),30)</f>
        <v>30</v>
      </c>
      <c r="H403" s="2" t="n">
        <f aca="false">IFERROR(__xludf.dummyfunction("""COMPUTED_VALUE"""),30)</f>
        <v>30</v>
      </c>
      <c r="I403" s="9" t="n">
        <f aca="false">IFERROR(__xludf.dummyfunction("""COMPUTED_VALUE"""),135444)</f>
        <v>135444</v>
      </c>
      <c r="J403" s="9" t="n">
        <f aca="false">IFERROR(__xludf.dummyfunction("""COMPUTED_VALUE"""),336)</f>
        <v>336</v>
      </c>
      <c r="K403" s="9"/>
      <c r="L403" s="9" t="n">
        <f aca="false">IFERROR(__xludf.dummyfunction("""COMPUTED_VALUE"""),0)</f>
        <v>0</v>
      </c>
      <c r="M403" s="9"/>
    </row>
    <row r="404" customFormat="false" ht="15.75" hidden="false" customHeight="false" outlineLevel="0" collapsed="false">
      <c r="A404" s="2" t="str">
        <f aca="false">IFERROR(__xludf.dummyfunction("""COMPUTED_VALUE"""),"SMSF/KAN/0437")</f>
        <v>SMSF/KAN/0437</v>
      </c>
      <c r="B404" s="2" t="str">
        <f aca="false">IFERROR(__xludf.dummyfunction("""COMPUTED_VALUE"""),"BUGGA MALLESH")</f>
        <v>BUGGA MALLESH</v>
      </c>
      <c r="C404" s="2" t="str">
        <f aca="false">IFERROR(__xludf.dummyfunction("""COMPUTED_VALUE"""),"Men &amp; Machines")</f>
        <v>Men &amp; Machines</v>
      </c>
      <c r="D404" s="2" t="str">
        <f aca="false">IFERROR(__xludf.dummyfunction("""COMPUTED_VALUE"""),"Kanha")</f>
        <v>Kanha</v>
      </c>
      <c r="E404" s="16" t="n">
        <f aca="false">IFERROR(__xludf.dummyfunction("""COMPUTED_VALUE"""),43095)</f>
        <v>43095</v>
      </c>
      <c r="F404" s="9" t="n">
        <f aca="false">IFERROR(__xludf.dummyfunction("""COMPUTED_VALUE"""),15050)</f>
        <v>15050</v>
      </c>
      <c r="G404" s="2" t="n">
        <f aca="false">IFERROR(__xludf.dummyfunction("""COMPUTED_VALUE"""),30)</f>
        <v>30</v>
      </c>
      <c r="H404" s="2" t="n">
        <f aca="false">IFERROR(__xludf.dummyfunction("""COMPUTED_VALUE"""),30)</f>
        <v>30</v>
      </c>
      <c r="I404" s="9" t="n">
        <f aca="false">IFERROR(__xludf.dummyfunction("""COMPUTED_VALUE"""),180600)</f>
        <v>180600</v>
      </c>
      <c r="J404" s="9" t="n">
        <f aca="false">IFERROR(__xludf.dummyfunction("""COMPUTED_VALUE"""),336)</f>
        <v>336</v>
      </c>
      <c r="K404" s="9"/>
      <c r="L404" s="9" t="n">
        <f aca="false">IFERROR(__xludf.dummyfunction("""COMPUTED_VALUE"""),0)</f>
        <v>0</v>
      </c>
      <c r="M404" s="9"/>
    </row>
    <row r="405" customFormat="false" ht="15.75" hidden="false" customHeight="false" outlineLevel="0" collapsed="false">
      <c r="A405" s="2" t="str">
        <f aca="false">IFERROR(__xludf.dummyfunction("""COMPUTED_VALUE"""),"SMSF/KAN/0444")</f>
        <v>SMSF/KAN/0444</v>
      </c>
      <c r="B405" s="2" t="str">
        <f aca="false">IFERROR(__xludf.dummyfunction("""COMPUTED_VALUE"""),"Patnam Srisailem")</f>
        <v>Patnam Srisailem</v>
      </c>
      <c r="C405" s="2" t="str">
        <f aca="false">IFERROR(__xludf.dummyfunction("""COMPUTED_VALUE"""),"Men &amp; Machines")</f>
        <v>Men &amp; Machines</v>
      </c>
      <c r="D405" s="2" t="str">
        <f aca="false">IFERROR(__xludf.dummyfunction("""COMPUTED_VALUE"""),"Kanha")</f>
        <v>Kanha</v>
      </c>
      <c r="E405" s="16" t="n">
        <f aca="false">IFERROR(__xludf.dummyfunction("""COMPUTED_VALUE"""),43095)</f>
        <v>43095</v>
      </c>
      <c r="F405" s="9" t="n">
        <f aca="false">IFERROR(__xludf.dummyfunction("""COMPUTED_VALUE"""),11287)</f>
        <v>11287</v>
      </c>
      <c r="G405" s="2" t="n">
        <f aca="false">IFERROR(__xludf.dummyfunction("""COMPUTED_VALUE"""),30)</f>
        <v>30</v>
      </c>
      <c r="H405" s="2" t="n">
        <f aca="false">IFERROR(__xludf.dummyfunction("""COMPUTED_VALUE"""),30)</f>
        <v>30</v>
      </c>
      <c r="I405" s="9" t="n">
        <f aca="false">IFERROR(__xludf.dummyfunction("""COMPUTED_VALUE"""),135444)</f>
        <v>135444</v>
      </c>
      <c r="J405" s="9" t="n">
        <f aca="false">IFERROR(__xludf.dummyfunction("""COMPUTED_VALUE"""),336)</f>
        <v>336</v>
      </c>
      <c r="K405" s="9"/>
      <c r="L405" s="9" t="n">
        <f aca="false">IFERROR(__xludf.dummyfunction("""COMPUTED_VALUE"""),0)</f>
        <v>0</v>
      </c>
      <c r="M405" s="9"/>
    </row>
    <row r="406" customFormat="false" ht="15.75" hidden="false" customHeight="false" outlineLevel="0" collapsed="false">
      <c r="A406" s="2" t="str">
        <f aca="false">IFERROR(__xludf.dummyfunction("""COMPUTED_VALUE"""),"SMSF/KAN/0442")</f>
        <v>SMSF/KAN/0442</v>
      </c>
      <c r="B406" s="2" t="str">
        <f aca="false">IFERROR(__xludf.dummyfunction("""COMPUTED_VALUE"""),"C Srinivas Reddy")</f>
        <v>C Srinivas Reddy</v>
      </c>
      <c r="C406" s="2" t="str">
        <f aca="false">IFERROR(__xludf.dummyfunction("""COMPUTED_VALUE"""),"Men &amp; Machines")</f>
        <v>Men &amp; Machines</v>
      </c>
      <c r="D406" s="2" t="str">
        <f aca="false">IFERROR(__xludf.dummyfunction("""COMPUTED_VALUE"""),"Kanha")</f>
        <v>Kanha</v>
      </c>
      <c r="E406" s="16" t="n">
        <f aca="false">IFERROR(__xludf.dummyfunction("""COMPUTED_VALUE"""),43095)</f>
        <v>43095</v>
      </c>
      <c r="F406" s="9" t="n">
        <f aca="false">IFERROR(__xludf.dummyfunction("""COMPUTED_VALUE"""),11287)</f>
        <v>11287</v>
      </c>
      <c r="G406" s="2" t="n">
        <f aca="false">IFERROR(__xludf.dummyfunction("""COMPUTED_VALUE"""),30)</f>
        <v>30</v>
      </c>
      <c r="H406" s="2" t="n">
        <f aca="false">IFERROR(__xludf.dummyfunction("""COMPUTED_VALUE"""),30)</f>
        <v>30</v>
      </c>
      <c r="I406" s="9" t="n">
        <f aca="false">IFERROR(__xludf.dummyfunction("""COMPUTED_VALUE"""),135444)</f>
        <v>135444</v>
      </c>
      <c r="J406" s="9" t="n">
        <f aca="false">IFERROR(__xludf.dummyfunction("""COMPUTED_VALUE"""),317)</f>
        <v>317</v>
      </c>
      <c r="K406" s="9"/>
      <c r="L406" s="9" t="n">
        <f aca="false">IFERROR(__xludf.dummyfunction("""COMPUTED_VALUE"""),0)</f>
        <v>0</v>
      </c>
      <c r="M406" s="9"/>
    </row>
    <row r="407" customFormat="false" ht="15.75" hidden="false" customHeight="false" outlineLevel="0" collapsed="false">
      <c r="A407" s="2" t="str">
        <f aca="false">IFERROR(__xludf.dummyfunction("""COMPUTED_VALUE"""),"SMSF/KAN/0441")</f>
        <v>SMSF/KAN/0441</v>
      </c>
      <c r="B407" s="2" t="str">
        <f aca="false">IFERROR(__xludf.dummyfunction("""COMPUTED_VALUE"""),"Karra Ganesh")</f>
        <v>Karra Ganesh</v>
      </c>
      <c r="C407" s="2" t="str">
        <f aca="false">IFERROR(__xludf.dummyfunction("""COMPUTED_VALUE"""),"Men &amp; Machines")</f>
        <v>Men &amp; Machines</v>
      </c>
      <c r="D407" s="2" t="str">
        <f aca="false">IFERROR(__xludf.dummyfunction("""COMPUTED_VALUE"""),"Kanha")</f>
        <v>Kanha</v>
      </c>
      <c r="E407" s="16" t="n">
        <f aca="false">IFERROR(__xludf.dummyfunction("""COMPUTED_VALUE"""),43095)</f>
        <v>43095</v>
      </c>
      <c r="F407" s="9" t="n">
        <f aca="false">IFERROR(__xludf.dummyfunction("""COMPUTED_VALUE"""),17500)</f>
        <v>17500</v>
      </c>
      <c r="G407" s="2" t="n">
        <f aca="false">IFERROR(__xludf.dummyfunction("""COMPUTED_VALUE"""),30)</f>
        <v>30</v>
      </c>
      <c r="H407" s="2" t="n">
        <f aca="false">IFERROR(__xludf.dummyfunction("""COMPUTED_VALUE"""),30)</f>
        <v>30</v>
      </c>
      <c r="I407" s="9" t="n">
        <f aca="false">IFERROR(__xludf.dummyfunction("""COMPUTED_VALUE"""),210000)</f>
        <v>210000</v>
      </c>
      <c r="J407" s="9" t="n">
        <f aca="false">IFERROR(__xludf.dummyfunction("""COMPUTED_VALUE"""),285)</f>
        <v>285</v>
      </c>
      <c r="K407" s="9"/>
      <c r="L407" s="9" t="n">
        <f aca="false">IFERROR(__xludf.dummyfunction("""COMPUTED_VALUE"""),0)</f>
        <v>0</v>
      </c>
      <c r="M407" s="9"/>
    </row>
    <row r="408" customFormat="false" ht="15.75" hidden="false" customHeight="false" outlineLevel="0" collapsed="false">
      <c r="A408" s="2" t="str">
        <f aca="false">IFERROR(__xludf.dummyfunction("""COMPUTED_VALUE"""),"SMSF/KAN/0443")</f>
        <v>SMSF/KAN/0443</v>
      </c>
      <c r="B408" s="2" t="str">
        <f aca="false">IFERROR(__xludf.dummyfunction("""COMPUTED_VALUE"""),"Kummari Pandu")</f>
        <v>Kummari Pandu</v>
      </c>
      <c r="C408" s="2" t="str">
        <f aca="false">IFERROR(__xludf.dummyfunction("""COMPUTED_VALUE"""),"Men &amp; Machines")</f>
        <v>Men &amp; Machines</v>
      </c>
      <c r="D408" s="2" t="str">
        <f aca="false">IFERROR(__xludf.dummyfunction("""COMPUTED_VALUE"""),"Kanha")</f>
        <v>Kanha</v>
      </c>
      <c r="E408" s="16" t="n">
        <f aca="false">IFERROR(__xludf.dummyfunction("""COMPUTED_VALUE"""),43095)</f>
        <v>43095</v>
      </c>
      <c r="F408" s="9" t="n">
        <f aca="false">IFERROR(__xludf.dummyfunction("""COMPUTED_VALUE"""),12000)</f>
        <v>12000</v>
      </c>
      <c r="G408" s="2" t="n">
        <f aca="false">IFERROR(__xludf.dummyfunction("""COMPUTED_VALUE"""),30)</f>
        <v>30</v>
      </c>
      <c r="H408" s="2" t="n">
        <f aca="false">IFERROR(__xludf.dummyfunction("""COMPUTED_VALUE"""),30)</f>
        <v>30</v>
      </c>
      <c r="I408" s="9" t="n">
        <f aca="false">IFERROR(__xludf.dummyfunction("""COMPUTED_VALUE"""),144000)</f>
        <v>144000</v>
      </c>
      <c r="J408" s="9" t="n">
        <f aca="false">IFERROR(__xludf.dummyfunction("""COMPUTED_VALUE"""),317)</f>
        <v>317</v>
      </c>
      <c r="K408" s="9"/>
      <c r="L408" s="9" t="n">
        <f aca="false">IFERROR(__xludf.dummyfunction("""COMPUTED_VALUE"""),0)</f>
        <v>0</v>
      </c>
      <c r="M408" s="9"/>
    </row>
    <row r="409" customFormat="false" ht="15.75" hidden="false" customHeight="false" outlineLevel="0" collapsed="false">
      <c r="A409" s="2" t="str">
        <f aca="false">IFERROR(__xludf.dummyfunction("""COMPUTED_VALUE"""),"SMSF/KAN/0438")</f>
        <v>SMSF/KAN/0438</v>
      </c>
      <c r="B409" s="2" t="str">
        <f aca="false">IFERROR(__xludf.dummyfunction("""COMPUTED_VALUE"""),"Manka Mallesh")</f>
        <v>Manka Mallesh</v>
      </c>
      <c r="C409" s="2" t="str">
        <f aca="false">IFERROR(__xludf.dummyfunction("""COMPUTED_VALUE"""),"Men &amp; Machines")</f>
        <v>Men &amp; Machines</v>
      </c>
      <c r="D409" s="2" t="str">
        <f aca="false">IFERROR(__xludf.dummyfunction("""COMPUTED_VALUE"""),"Kanha")</f>
        <v>Kanha</v>
      </c>
      <c r="E409" s="16" t="n">
        <f aca="false">IFERROR(__xludf.dummyfunction("""COMPUTED_VALUE"""),43095)</f>
        <v>43095</v>
      </c>
      <c r="F409" s="9" t="n">
        <f aca="false">IFERROR(__xludf.dummyfunction("""COMPUTED_VALUE"""),11000)</f>
        <v>11000</v>
      </c>
      <c r="G409" s="2" t="n">
        <f aca="false">IFERROR(__xludf.dummyfunction("""COMPUTED_VALUE"""),30)</f>
        <v>30</v>
      </c>
      <c r="H409" s="2" t="n">
        <f aca="false">IFERROR(__xludf.dummyfunction("""COMPUTED_VALUE"""),30)</f>
        <v>30</v>
      </c>
      <c r="I409" s="9" t="n">
        <f aca="false">IFERROR(__xludf.dummyfunction("""COMPUTED_VALUE"""),132000)</f>
        <v>132000</v>
      </c>
      <c r="J409" s="9" t="n">
        <f aca="false">IFERROR(__xludf.dummyfunction("""COMPUTED_VALUE"""),317)</f>
        <v>317</v>
      </c>
      <c r="K409" s="9"/>
      <c r="L409" s="9" t="n">
        <f aca="false">IFERROR(__xludf.dummyfunction("""COMPUTED_VALUE"""),0)</f>
        <v>0</v>
      </c>
      <c r="M409" s="9"/>
    </row>
    <row r="410" customFormat="false" ht="15.75" hidden="false" customHeight="false" outlineLevel="0" collapsed="false">
      <c r="A410" s="2" t="str">
        <f aca="false">IFERROR(__xludf.dummyfunction("""COMPUTED_VALUE"""),"SMSF/KAN/0399")</f>
        <v>SMSF/KAN/0399</v>
      </c>
      <c r="B410" s="2" t="str">
        <f aca="false">IFERROR(__xludf.dummyfunction("""COMPUTED_VALUE"""),"PARAMESH K ")</f>
        <v>PARAMESH K </v>
      </c>
      <c r="C410" s="2" t="str">
        <f aca="false">IFERROR(__xludf.dummyfunction("""COMPUTED_VALUE"""),"Men &amp; Machines")</f>
        <v>Men &amp; Machines</v>
      </c>
      <c r="D410" s="2" t="str">
        <f aca="false">IFERROR(__xludf.dummyfunction("""COMPUTED_VALUE"""),"Kanha")</f>
        <v>Kanha</v>
      </c>
      <c r="E410" s="16" t="n">
        <f aca="false">IFERROR(__xludf.dummyfunction("""COMPUTED_VALUE"""),43072)</f>
        <v>43072</v>
      </c>
      <c r="F410" s="9" t="n">
        <f aca="false">IFERROR(__xludf.dummyfunction("""COMPUTED_VALUE"""),14000)</f>
        <v>14000</v>
      </c>
      <c r="G410" s="2" t="n">
        <f aca="false">IFERROR(__xludf.dummyfunction("""COMPUTED_VALUE"""),30)</f>
        <v>30</v>
      </c>
      <c r="H410" s="2" t="n">
        <f aca="false">IFERROR(__xludf.dummyfunction("""COMPUTED_VALUE"""),30)</f>
        <v>30</v>
      </c>
      <c r="I410" s="9" t="n">
        <f aca="false">IFERROR(__xludf.dummyfunction("""COMPUTED_VALUE"""),168000)</f>
        <v>168000</v>
      </c>
      <c r="J410" s="9" t="n">
        <f aca="false">IFERROR(__xludf.dummyfunction("""COMPUTED_VALUE"""),63)</f>
        <v>63</v>
      </c>
      <c r="K410" s="9"/>
      <c r="L410" s="9" t="n">
        <f aca="false">IFERROR(__xludf.dummyfunction("""COMPUTED_VALUE"""),0)</f>
        <v>0</v>
      </c>
      <c r="M410" s="9"/>
    </row>
    <row r="411" customFormat="false" ht="15.75" hidden="false" customHeight="false" outlineLevel="0" collapsed="false">
      <c r="A411" s="2" t="str">
        <f aca="false">IFERROR(__xludf.dummyfunction("""COMPUTED_VALUE"""),"SMSF/KAN/0397")</f>
        <v>SMSF/KAN/0397</v>
      </c>
      <c r="B411" s="2" t="str">
        <f aca="false">IFERROR(__xludf.dummyfunction("""COMPUTED_VALUE"""),"RAJU BHARATWAJ")</f>
        <v>RAJU BHARATWAJ</v>
      </c>
      <c r="C411" s="2" t="str">
        <f aca="false">IFERROR(__xludf.dummyfunction("""COMPUTED_VALUE"""),"Men &amp; Machines")</f>
        <v>Men &amp; Machines</v>
      </c>
      <c r="D411" s="2" t="str">
        <f aca="false">IFERROR(__xludf.dummyfunction("""COMPUTED_VALUE"""),"Kanha")</f>
        <v>Kanha</v>
      </c>
      <c r="E411" s="16" t="n">
        <f aca="false">IFERROR(__xludf.dummyfunction("""COMPUTED_VALUE"""),43070)</f>
        <v>43070</v>
      </c>
      <c r="F411" s="9" t="n">
        <f aca="false">IFERROR(__xludf.dummyfunction("""COMPUTED_VALUE"""),17500)</f>
        <v>17500</v>
      </c>
      <c r="G411" s="2" t="n">
        <f aca="false">IFERROR(__xludf.dummyfunction("""COMPUTED_VALUE"""),30)</f>
        <v>30</v>
      </c>
      <c r="H411" s="2" t="n">
        <f aca="false">IFERROR(__xludf.dummyfunction("""COMPUTED_VALUE"""),30)</f>
        <v>30</v>
      </c>
      <c r="I411" s="9" t="n">
        <f aca="false">IFERROR(__xludf.dummyfunction("""COMPUTED_VALUE"""),210000)</f>
        <v>210000</v>
      </c>
      <c r="J411" s="9" t="n">
        <f aca="false">IFERROR(__xludf.dummyfunction("""COMPUTED_VALUE"""),285)</f>
        <v>285</v>
      </c>
      <c r="K411" s="9"/>
      <c r="L411" s="9" t="n">
        <f aca="false">IFERROR(__xludf.dummyfunction("""COMPUTED_VALUE"""),0)</f>
        <v>0</v>
      </c>
      <c r="M411" s="9"/>
    </row>
    <row r="412" customFormat="false" ht="15.75" hidden="false" customHeight="false" outlineLevel="0" collapsed="false">
      <c r="A412" s="2" t="str">
        <f aca="false">IFERROR(__xludf.dummyfunction("""COMPUTED_VALUE"""),"SMSF/KAN/0607")</f>
        <v>SMSF/KAN/0607</v>
      </c>
      <c r="B412" s="2" t="str">
        <f aca="false">IFERROR(__xludf.dummyfunction("""COMPUTED_VALUE"""),"MURALI KRISHNA PATAPATHI")</f>
        <v>MURALI KRISHNA PATAPATHI</v>
      </c>
      <c r="C412" s="2" t="str">
        <f aca="false">IFERROR(__xludf.dummyfunction("""COMPUTED_VALUE"""),"Men &amp; Machines")</f>
        <v>Men &amp; Machines</v>
      </c>
      <c r="D412" s="2" t="str">
        <f aca="false">IFERROR(__xludf.dummyfunction("""COMPUTED_VALUE"""),"Kanha")</f>
        <v>Kanha</v>
      </c>
      <c r="E412" s="16" t="n">
        <f aca="false">IFERROR(__xludf.dummyfunction("""COMPUTED_VALUE"""),43070)</f>
        <v>43070</v>
      </c>
      <c r="F412" s="9" t="n">
        <f aca="false">IFERROR(__xludf.dummyfunction("""COMPUTED_VALUE"""),23000)</f>
        <v>23000</v>
      </c>
      <c r="G412" s="2" t="n">
        <f aca="false">IFERROR(__xludf.dummyfunction("""COMPUTED_VALUE"""),30)</f>
        <v>30</v>
      </c>
      <c r="H412" s="2" t="n">
        <f aca="false">IFERROR(__xludf.dummyfunction("""COMPUTED_VALUE"""),30)</f>
        <v>30</v>
      </c>
      <c r="I412" s="9" t="n">
        <f aca="false">IFERROR(__xludf.dummyfunction("""COMPUTED_VALUE"""),276000)</f>
        <v>276000</v>
      </c>
      <c r="J412" s="9" t="n">
        <f aca="false">IFERROR(__xludf.dummyfunction("""COMPUTED_VALUE"""),63)</f>
        <v>63</v>
      </c>
      <c r="K412" s="9"/>
      <c r="L412" s="9" t="n">
        <f aca="false">IFERROR(__xludf.dummyfunction("""COMPUTED_VALUE"""),0)</f>
        <v>0</v>
      </c>
      <c r="M412" s="9"/>
    </row>
    <row r="413" customFormat="false" ht="15.75" hidden="false" customHeight="false" outlineLevel="0" collapsed="false">
      <c r="A413" s="2" t="str">
        <f aca="false">IFERROR(__xludf.dummyfunction("""COMPUTED_VALUE"""),"SMSF/KAN/0374")</f>
        <v>SMSF/KAN/0374</v>
      </c>
      <c r="B413" s="2" t="str">
        <f aca="false">IFERROR(__xludf.dummyfunction("""COMPUTED_VALUE"""),"Ajeet Kumar")</f>
        <v>Ajeet Kumar</v>
      </c>
      <c r="C413" s="2" t="str">
        <f aca="false">IFERROR(__xludf.dummyfunction("""COMPUTED_VALUE"""),"Men &amp; Machines")</f>
        <v>Men &amp; Machines</v>
      </c>
      <c r="D413" s="2" t="str">
        <f aca="false">IFERROR(__xludf.dummyfunction("""COMPUTED_VALUE"""),"Kanha")</f>
        <v>Kanha</v>
      </c>
      <c r="E413" s="16" t="n">
        <f aca="false">IFERROR(__xludf.dummyfunction("""COMPUTED_VALUE"""),43088)</f>
        <v>43088</v>
      </c>
      <c r="F413" s="9" t="n">
        <f aca="false">IFERROR(__xludf.dummyfunction("""COMPUTED_VALUE"""),17500)</f>
        <v>17500</v>
      </c>
      <c r="G413" s="2" t="n">
        <f aca="false">IFERROR(__xludf.dummyfunction("""COMPUTED_VALUE"""),30)</f>
        <v>30</v>
      </c>
      <c r="H413" s="2" t="n">
        <f aca="false">IFERROR(__xludf.dummyfunction("""COMPUTED_VALUE"""),30)</f>
        <v>30</v>
      </c>
      <c r="I413" s="9" t="n">
        <f aca="false">IFERROR(__xludf.dummyfunction("""COMPUTED_VALUE"""),210000)</f>
        <v>210000</v>
      </c>
      <c r="J413" s="9" t="n">
        <f aca="false">IFERROR(__xludf.dummyfunction("""COMPUTED_VALUE"""),95)</f>
        <v>95</v>
      </c>
      <c r="K413" s="9"/>
      <c r="L413" s="9" t="n">
        <f aca="false">IFERROR(__xludf.dummyfunction("""COMPUTED_VALUE"""),0)</f>
        <v>0</v>
      </c>
      <c r="M413" s="9"/>
    </row>
    <row r="414" customFormat="false" ht="15.75" hidden="false" customHeight="false" outlineLevel="0" collapsed="false">
      <c r="A414" s="2" t="str">
        <f aca="false">IFERROR(__xludf.dummyfunction("""COMPUTED_VALUE"""),"SMSF/KAN/0382")</f>
        <v>SMSF/KAN/0382</v>
      </c>
      <c r="B414" s="2" t="str">
        <f aca="false">IFERROR(__xludf.dummyfunction("""COMPUTED_VALUE"""),"Manoj Singh")</f>
        <v>Manoj Singh</v>
      </c>
      <c r="C414" s="2" t="str">
        <f aca="false">IFERROR(__xludf.dummyfunction("""COMPUTED_VALUE"""),"Men &amp; Machines")</f>
        <v>Men &amp; Machines</v>
      </c>
      <c r="D414" s="2" t="str">
        <f aca="false">IFERROR(__xludf.dummyfunction("""COMPUTED_VALUE"""),"Kanha")</f>
        <v>Kanha</v>
      </c>
      <c r="E414" s="16" t="n">
        <f aca="false">IFERROR(__xludf.dummyfunction("""COMPUTED_VALUE"""),43088)</f>
        <v>43088</v>
      </c>
      <c r="F414" s="9" t="n">
        <f aca="false">IFERROR(__xludf.dummyfunction("""COMPUTED_VALUE"""),18275)</f>
        <v>18275</v>
      </c>
      <c r="G414" s="2" t="n">
        <f aca="false">IFERROR(__xludf.dummyfunction("""COMPUTED_VALUE"""),30)</f>
        <v>30</v>
      </c>
      <c r="H414" s="2" t="n">
        <f aca="false">IFERROR(__xludf.dummyfunction("""COMPUTED_VALUE"""),30)</f>
        <v>30</v>
      </c>
      <c r="I414" s="9" t="n">
        <f aca="false">IFERROR(__xludf.dummyfunction("""COMPUTED_VALUE"""),219300)</f>
        <v>219300</v>
      </c>
      <c r="J414" s="9" t="n">
        <f aca="false">IFERROR(__xludf.dummyfunction("""COMPUTED_VALUE"""),317)</f>
        <v>317</v>
      </c>
      <c r="K414" s="9"/>
      <c r="L414" s="9" t="n">
        <f aca="false">IFERROR(__xludf.dummyfunction("""COMPUTED_VALUE"""),0)</f>
        <v>0</v>
      </c>
      <c r="M414" s="9"/>
    </row>
    <row r="415" customFormat="false" ht="15.75" hidden="false" customHeight="false" outlineLevel="0" collapsed="false">
      <c r="A415" s="2" t="str">
        <f aca="false">IFERROR(__xludf.dummyfunction("""COMPUTED_VALUE"""),"SMSF/KAN/0590")</f>
        <v>SMSF/KAN/0590</v>
      </c>
      <c r="B415" s="2" t="str">
        <f aca="false">IFERROR(__xludf.dummyfunction("""COMPUTED_VALUE"""),"GUNDALA RAMESH")</f>
        <v>GUNDALA RAMESH</v>
      </c>
      <c r="C415" s="2" t="str">
        <f aca="false">IFERROR(__xludf.dummyfunction("""COMPUTED_VALUE"""),"Men &amp; Machines")</f>
        <v>Men &amp; Machines</v>
      </c>
      <c r="D415" s="2" t="str">
        <f aca="false">IFERROR(__xludf.dummyfunction("""COMPUTED_VALUE"""),"Kanha")</f>
        <v>Kanha</v>
      </c>
      <c r="E415" s="16" t="n">
        <f aca="false">IFERROR(__xludf.dummyfunction("""COMPUTED_VALUE"""),42881)</f>
        <v>42881</v>
      </c>
      <c r="F415" s="9" t="n">
        <f aca="false">IFERROR(__xludf.dummyfunction("""COMPUTED_VALUE"""),17500)</f>
        <v>17500</v>
      </c>
      <c r="G415" s="2" t="n">
        <f aca="false">IFERROR(__xludf.dummyfunction("""COMPUTED_VALUE"""),30)</f>
        <v>30</v>
      </c>
      <c r="H415" s="2" t="n">
        <f aca="false">IFERROR(__xludf.dummyfunction("""COMPUTED_VALUE"""),30)</f>
        <v>30</v>
      </c>
      <c r="I415" s="9" t="n">
        <f aca="false">IFERROR(__xludf.dummyfunction("""COMPUTED_VALUE"""),210000)</f>
        <v>210000</v>
      </c>
      <c r="J415" s="9" t="n">
        <f aca="false">IFERROR(__xludf.dummyfunction("""COMPUTED_VALUE"""),317)</f>
        <v>317</v>
      </c>
      <c r="K415" s="9"/>
      <c r="L415" s="9" t="n">
        <f aca="false">IFERROR(__xludf.dummyfunction("""COMPUTED_VALUE"""),0)</f>
        <v>0</v>
      </c>
      <c r="M415" s="9"/>
    </row>
    <row r="416" customFormat="false" ht="15.75" hidden="false" customHeight="false" outlineLevel="0" collapsed="false">
      <c r="A416" s="2" t="str">
        <f aca="false">IFERROR(__xludf.dummyfunction("""COMPUTED_VALUE"""),"SMSF/KAN/0660")</f>
        <v>SMSF/KAN/0660</v>
      </c>
      <c r="B416" s="2" t="str">
        <f aca="false">IFERROR(__xludf.dummyfunction("""COMPUTED_VALUE"""),"AMIT KUMAR")</f>
        <v>AMIT KUMAR</v>
      </c>
      <c r="C416" s="2" t="str">
        <f aca="false">IFERROR(__xludf.dummyfunction("""COMPUTED_VALUE"""),"Men &amp; Machines")</f>
        <v>Men &amp; Machines</v>
      </c>
      <c r="D416" s="2" t="str">
        <f aca="false">IFERROR(__xludf.dummyfunction("""COMPUTED_VALUE"""),"Kanha")</f>
        <v>Kanha</v>
      </c>
      <c r="E416" s="16" t="n">
        <f aca="false">IFERROR(__xludf.dummyfunction("""COMPUTED_VALUE"""),42909)</f>
        <v>42909</v>
      </c>
      <c r="F416" s="9" t="n">
        <f aca="false">IFERROR(__xludf.dummyfunction("""COMPUTED_VALUE"""),17500)</f>
        <v>17500</v>
      </c>
      <c r="G416" s="2" t="n">
        <f aca="false">IFERROR(__xludf.dummyfunction("""COMPUTED_VALUE"""),30)</f>
        <v>30</v>
      </c>
      <c r="H416" s="2" t="n">
        <f aca="false">IFERROR(__xludf.dummyfunction("""COMPUTED_VALUE"""),30)</f>
        <v>30</v>
      </c>
      <c r="I416" s="9" t="n">
        <f aca="false">IFERROR(__xludf.dummyfunction("""COMPUTED_VALUE"""),210000)</f>
        <v>210000</v>
      </c>
      <c r="J416" s="9" t="n">
        <f aca="false">IFERROR(__xludf.dummyfunction("""COMPUTED_VALUE"""),254)</f>
        <v>254</v>
      </c>
      <c r="K416" s="9"/>
      <c r="L416" s="9" t="n">
        <f aca="false">IFERROR(__xludf.dummyfunction("""COMPUTED_VALUE"""),0)</f>
        <v>0</v>
      </c>
      <c r="M416" s="9"/>
    </row>
    <row r="417" customFormat="false" ht="15.75" hidden="false" customHeight="false" outlineLevel="0" collapsed="false">
      <c r="A417" s="2" t="str">
        <f aca="false">IFERROR(__xludf.dummyfunction("""COMPUTED_VALUE"""),"SMSF/KAN/0396")</f>
        <v>SMSF/KAN/0396</v>
      </c>
      <c r="B417" s="2" t="str">
        <f aca="false">IFERROR(__xludf.dummyfunction("""COMPUTED_VALUE"""),"S.MAQBOOL BASHA")</f>
        <v>S.MAQBOOL BASHA</v>
      </c>
      <c r="C417" s="2" t="str">
        <f aca="false">IFERROR(__xludf.dummyfunction("""COMPUTED_VALUE"""),"Men &amp; Machines")</f>
        <v>Men &amp; Machines</v>
      </c>
      <c r="D417" s="2" t="str">
        <f aca="false">IFERROR(__xludf.dummyfunction("""COMPUTED_VALUE"""),"Kanha")</f>
        <v>Kanha</v>
      </c>
      <c r="E417" s="16" t="n">
        <f aca="false">IFERROR(__xludf.dummyfunction("""COMPUTED_VALUE"""),43040)</f>
        <v>43040</v>
      </c>
      <c r="F417" s="9" t="n">
        <f aca="false">IFERROR(__xludf.dummyfunction("""COMPUTED_VALUE"""),33920)</f>
        <v>33920</v>
      </c>
      <c r="G417" s="2" t="n">
        <f aca="false">IFERROR(__xludf.dummyfunction("""COMPUTED_VALUE"""),30)</f>
        <v>30</v>
      </c>
      <c r="H417" s="2" t="n">
        <f aca="false">IFERROR(__xludf.dummyfunction("""COMPUTED_VALUE"""),30)</f>
        <v>30</v>
      </c>
      <c r="I417" s="9" t="n">
        <f aca="false">IFERROR(__xludf.dummyfunction("""COMPUTED_VALUE"""),407040)</f>
        <v>407040</v>
      </c>
      <c r="J417" s="9" t="n">
        <f aca="false">IFERROR(__xludf.dummyfunction("""COMPUTED_VALUE"""),317)</f>
        <v>317</v>
      </c>
      <c r="K417" s="9"/>
      <c r="L417" s="9" t="n">
        <f aca="false">IFERROR(__xludf.dummyfunction("""COMPUTED_VALUE"""),0)</f>
        <v>0</v>
      </c>
      <c r="M417" s="9"/>
    </row>
    <row r="418" customFormat="false" ht="15.75" hidden="false" customHeight="false" outlineLevel="0" collapsed="false">
      <c r="A418" s="2" t="str">
        <f aca="false">IFERROR(__xludf.dummyfunction("""COMPUTED_VALUE"""),"SMSF/KAN/0265")</f>
        <v>SMSF/KAN/0265</v>
      </c>
      <c r="B418" s="2" t="str">
        <f aca="false">IFERROR(__xludf.dummyfunction("""COMPUTED_VALUE"""),"AVULA MALLESH")</f>
        <v>AVULA MALLESH</v>
      </c>
      <c r="C418" s="2" t="str">
        <f aca="false">IFERROR(__xludf.dummyfunction("""COMPUTED_VALUE"""),"Men &amp; Machines")</f>
        <v>Men &amp; Machines</v>
      </c>
      <c r="D418" s="2" t="str">
        <f aca="false">IFERROR(__xludf.dummyfunction("""COMPUTED_VALUE"""),"Kanha")</f>
        <v>Kanha</v>
      </c>
      <c r="E418" s="16" t="n">
        <f aca="false">IFERROR(__xludf.dummyfunction("""COMPUTED_VALUE"""),42847)</f>
        <v>42847</v>
      </c>
      <c r="F418" s="9" t="n">
        <f aca="false">IFERROR(__xludf.dummyfunction("""COMPUTED_VALUE"""),13975)</f>
        <v>13975</v>
      </c>
      <c r="G418" s="2" t="n">
        <f aca="false">IFERROR(__xludf.dummyfunction("""COMPUTED_VALUE"""),30)</f>
        <v>30</v>
      </c>
      <c r="H418" s="2" t="n">
        <f aca="false">IFERROR(__xludf.dummyfunction("""COMPUTED_VALUE"""),30)</f>
        <v>30</v>
      </c>
      <c r="I418" s="9" t="n">
        <f aca="false">IFERROR(__xludf.dummyfunction("""COMPUTED_VALUE"""),167700)</f>
        <v>167700</v>
      </c>
      <c r="J418" s="9" t="n">
        <f aca="false">IFERROR(__xludf.dummyfunction("""COMPUTED_VALUE"""),158)</f>
        <v>158</v>
      </c>
      <c r="K418" s="9"/>
      <c r="L418" s="9" t="n">
        <f aca="false">IFERROR(__xludf.dummyfunction("""COMPUTED_VALUE"""),0)</f>
        <v>0</v>
      </c>
      <c r="M418" s="9"/>
    </row>
    <row r="419" customFormat="false" ht="15.75" hidden="false" customHeight="false" outlineLevel="0" collapsed="false">
      <c r="A419" s="2" t="str">
        <f aca="false">IFERROR(__xludf.dummyfunction("""COMPUTED_VALUE"""),"SMSF/KAN/0701")</f>
        <v>SMSF/KAN/0701</v>
      </c>
      <c r="B419" s="2" t="str">
        <f aca="false">IFERROR(__xludf.dummyfunction("""COMPUTED_VALUE"""),"D SUDHAKAR")</f>
        <v>D SUDHAKAR</v>
      </c>
      <c r="C419" s="2" t="str">
        <f aca="false">IFERROR(__xludf.dummyfunction("""COMPUTED_VALUE"""),"Men &amp; Machines")</f>
        <v>Men &amp; Machines</v>
      </c>
      <c r="D419" s="2" t="str">
        <f aca="false">IFERROR(__xludf.dummyfunction("""COMPUTED_VALUE"""),"Kanha")</f>
        <v>Kanha</v>
      </c>
      <c r="E419" s="16" t="n">
        <f aca="false">IFERROR(__xludf.dummyfunction("""COMPUTED_VALUE"""),42953)</f>
        <v>42953</v>
      </c>
      <c r="F419" s="9" t="n">
        <f aca="false">IFERROR(__xludf.dummyfunction("""COMPUTED_VALUE"""),15500)</f>
        <v>15500</v>
      </c>
      <c r="G419" s="2" t="n">
        <f aca="false">IFERROR(__xludf.dummyfunction("""COMPUTED_VALUE"""),30)</f>
        <v>30</v>
      </c>
      <c r="H419" s="2" t="n">
        <f aca="false">IFERROR(__xludf.dummyfunction("""COMPUTED_VALUE"""),30)</f>
        <v>30</v>
      </c>
      <c r="I419" s="9" t="n">
        <f aca="false">IFERROR(__xludf.dummyfunction("""COMPUTED_VALUE"""),186000)</f>
        <v>186000</v>
      </c>
      <c r="J419" s="9" t="n">
        <f aca="false">IFERROR(__xludf.dummyfunction("""COMPUTED_VALUE"""),285)</f>
        <v>285</v>
      </c>
      <c r="K419" s="9"/>
      <c r="L419" s="9" t="n">
        <f aca="false">IFERROR(__xludf.dummyfunction("""COMPUTED_VALUE"""),0)</f>
        <v>0</v>
      </c>
      <c r="M419" s="9"/>
    </row>
    <row r="420" customFormat="false" ht="15.75" hidden="false" customHeight="false" outlineLevel="0" collapsed="false">
      <c r="A420" s="2" t="str">
        <f aca="false">IFERROR(__xludf.dummyfunction("""COMPUTED_VALUE"""),"SMSF/KAN/0702")</f>
        <v>SMSF/KAN/0702</v>
      </c>
      <c r="B420" s="2" t="str">
        <f aca="false">IFERROR(__xludf.dummyfunction("""COMPUTED_VALUE"""),"K RAJESH")</f>
        <v>K RAJESH</v>
      </c>
      <c r="C420" s="2" t="str">
        <f aca="false">IFERROR(__xludf.dummyfunction("""COMPUTED_VALUE"""),"Men &amp; Machines")</f>
        <v>Men &amp; Machines</v>
      </c>
      <c r="D420" s="2" t="str">
        <f aca="false">IFERROR(__xludf.dummyfunction("""COMPUTED_VALUE"""),"Kanha")</f>
        <v>Kanha</v>
      </c>
      <c r="E420" s="16" t="n">
        <f aca="false">IFERROR(__xludf.dummyfunction("""COMPUTED_VALUE"""),42963)</f>
        <v>42963</v>
      </c>
      <c r="F420" s="9" t="n">
        <f aca="false">IFERROR(__xludf.dummyfunction("""COMPUTED_VALUE"""),15000)</f>
        <v>15000</v>
      </c>
      <c r="G420" s="2" t="n">
        <f aca="false">IFERROR(__xludf.dummyfunction("""COMPUTED_VALUE"""),30)</f>
        <v>30</v>
      </c>
      <c r="H420" s="2" t="n">
        <f aca="false">IFERROR(__xludf.dummyfunction("""COMPUTED_VALUE"""),30)</f>
        <v>30</v>
      </c>
      <c r="I420" s="9" t="n">
        <f aca="false">IFERROR(__xludf.dummyfunction("""COMPUTED_VALUE"""),180000)</f>
        <v>180000</v>
      </c>
      <c r="J420" s="9" t="n">
        <f aca="false">IFERROR(__xludf.dummyfunction("""COMPUTED_VALUE"""),380)</f>
        <v>380</v>
      </c>
      <c r="K420" s="9"/>
      <c r="L420" s="9" t="n">
        <f aca="false">IFERROR(__xludf.dummyfunction("""COMPUTED_VALUE"""),0)</f>
        <v>0</v>
      </c>
      <c r="M420" s="9"/>
    </row>
    <row r="421" customFormat="false" ht="15.75" hidden="false" customHeight="false" outlineLevel="0" collapsed="false">
      <c r="A421" s="2" t="str">
        <f aca="false">IFERROR(__xludf.dummyfunction("""COMPUTED_VALUE"""),"SMSF/KAN/0857")</f>
        <v>SMSF/KAN/0857</v>
      </c>
      <c r="B421" s="2" t="str">
        <f aca="false">IFERROR(__xludf.dummyfunction("""COMPUTED_VALUE"""),"Vadde Yadaiah")</f>
        <v>Vadde Yadaiah</v>
      </c>
      <c r="C421" s="2" t="str">
        <f aca="false">IFERROR(__xludf.dummyfunction("""COMPUTED_VALUE"""),"Men &amp; Machines")</f>
        <v>Men &amp; Machines</v>
      </c>
      <c r="D421" s="2" t="str">
        <f aca="false">IFERROR(__xludf.dummyfunction("""COMPUTED_VALUE"""),"Kanha")</f>
        <v>Kanha</v>
      </c>
      <c r="E421" s="16" t="n">
        <f aca="false">IFERROR(__xludf.dummyfunction("""COMPUTED_VALUE"""),43246)</f>
        <v>43246</v>
      </c>
      <c r="F421" s="9" t="n">
        <f aca="false">IFERROR(__xludf.dummyfunction("""COMPUTED_VALUE"""),11500)</f>
        <v>11500</v>
      </c>
      <c r="G421" s="2" t="n">
        <f aca="false">IFERROR(__xludf.dummyfunction("""COMPUTED_VALUE"""),30)</f>
        <v>30</v>
      </c>
      <c r="H421" s="2" t="n">
        <f aca="false">IFERROR(__xludf.dummyfunction("""COMPUTED_VALUE"""),30)</f>
        <v>30</v>
      </c>
      <c r="I421" s="9" t="n">
        <f aca="false">IFERROR(__xludf.dummyfunction("""COMPUTED_VALUE"""),138000)</f>
        <v>138000</v>
      </c>
      <c r="J421" s="9" t="n">
        <f aca="false">IFERROR(__xludf.dummyfunction("""COMPUTED_VALUE"""),317)</f>
        <v>317</v>
      </c>
      <c r="K421" s="9"/>
      <c r="L421" s="9" t="n">
        <f aca="false">IFERROR(__xludf.dummyfunction("""COMPUTED_VALUE"""),0)</f>
        <v>0</v>
      </c>
      <c r="M421" s="9"/>
    </row>
    <row r="422" customFormat="false" ht="15.75" hidden="false" customHeight="false" outlineLevel="0" collapsed="false">
      <c r="A422" s="2" t="str">
        <f aca="false">IFERROR(__xludf.dummyfunction("""COMPUTED_VALUE"""),"SMSF/KAN/0872")</f>
        <v>SMSF/KAN/0872</v>
      </c>
      <c r="B422" s="2" t="str">
        <f aca="false">IFERROR(__xludf.dummyfunction("""COMPUTED_VALUE"""),"Jithendar Bharatwaj")</f>
        <v>Jithendar Bharatwaj</v>
      </c>
      <c r="C422" s="2" t="str">
        <f aca="false">IFERROR(__xludf.dummyfunction("""COMPUTED_VALUE"""),"Men &amp; Machines")</f>
        <v>Men &amp; Machines</v>
      </c>
      <c r="D422" s="2" t="str">
        <f aca="false">IFERROR(__xludf.dummyfunction("""COMPUTED_VALUE"""),"Kanha")</f>
        <v>Kanha</v>
      </c>
      <c r="E422" s="16" t="n">
        <f aca="false">IFERROR(__xludf.dummyfunction("""COMPUTED_VALUE"""),43246)</f>
        <v>43246</v>
      </c>
      <c r="F422" s="9" t="n">
        <f aca="false">IFERROR(__xludf.dummyfunction("""COMPUTED_VALUE"""),17000)</f>
        <v>17000</v>
      </c>
      <c r="G422" s="2" t="n">
        <f aca="false">IFERROR(__xludf.dummyfunction("""COMPUTED_VALUE"""),30)</f>
        <v>30</v>
      </c>
      <c r="H422" s="2" t="n">
        <f aca="false">IFERROR(__xludf.dummyfunction("""COMPUTED_VALUE"""),30)</f>
        <v>30</v>
      </c>
      <c r="I422" s="9" t="n">
        <f aca="false">IFERROR(__xludf.dummyfunction("""COMPUTED_VALUE"""),204000)</f>
        <v>204000</v>
      </c>
      <c r="J422" s="9" t="n">
        <f aca="false">IFERROR(__xludf.dummyfunction("""COMPUTED_VALUE"""),63)</f>
        <v>63</v>
      </c>
      <c r="K422" s="9"/>
      <c r="L422" s="9" t="n">
        <f aca="false">IFERROR(__xludf.dummyfunction("""COMPUTED_VALUE"""),0)</f>
        <v>0</v>
      </c>
      <c r="M422" s="9"/>
    </row>
    <row r="423" customFormat="false" ht="15.75" hidden="false" customHeight="false" outlineLevel="0" collapsed="false">
      <c r="A423" s="2" t="str">
        <f aca="false">IFERROR(__xludf.dummyfunction("""COMPUTED_VALUE"""),"SMSF/KAN/0852")</f>
        <v>SMSF/KAN/0852</v>
      </c>
      <c r="B423" s="2" t="str">
        <f aca="false">IFERROR(__xludf.dummyfunction("""COMPUTED_VALUE"""),"Denny K B")</f>
        <v>Denny K B</v>
      </c>
      <c r="C423" s="2" t="str">
        <f aca="false">IFERROR(__xludf.dummyfunction("""COMPUTED_VALUE"""),"Men &amp; Machines")</f>
        <v>Men &amp; Machines</v>
      </c>
      <c r="D423" s="2" t="str">
        <f aca="false">IFERROR(__xludf.dummyfunction("""COMPUTED_VALUE"""),"Kanha")</f>
        <v>Kanha</v>
      </c>
      <c r="E423" s="16" t="n">
        <f aca="false">IFERROR(__xludf.dummyfunction("""COMPUTED_VALUE"""),43191)</f>
        <v>43191</v>
      </c>
      <c r="F423" s="9" t="n">
        <f aca="false">IFERROR(__xludf.dummyfunction("""COMPUTED_VALUE"""),40000)</f>
        <v>40000</v>
      </c>
      <c r="G423" s="2" t="n">
        <f aca="false">IFERROR(__xludf.dummyfunction("""COMPUTED_VALUE"""),30)</f>
        <v>30</v>
      </c>
      <c r="H423" s="2" t="n">
        <f aca="false">IFERROR(__xludf.dummyfunction("""COMPUTED_VALUE"""),30)</f>
        <v>30</v>
      </c>
      <c r="I423" s="9" t="n">
        <f aca="false">IFERROR(__xludf.dummyfunction("""COMPUTED_VALUE"""),480000)</f>
        <v>480000</v>
      </c>
      <c r="J423" s="9" t="n">
        <f aca="false">IFERROR(__xludf.dummyfunction("""COMPUTED_VALUE"""),95)</f>
        <v>95</v>
      </c>
      <c r="K423" s="9"/>
      <c r="L423" s="9" t="n">
        <f aca="false">IFERROR(__xludf.dummyfunction("""COMPUTED_VALUE"""),0)</f>
        <v>0</v>
      </c>
      <c r="M423" s="9"/>
    </row>
    <row r="424" customFormat="false" ht="15.75" hidden="false" customHeight="false" outlineLevel="0" collapsed="false">
      <c r="A424" s="2" t="str">
        <f aca="false">IFERROR(__xludf.dummyfunction("""COMPUTED_VALUE"""),"SMSF/KAN/0205")</f>
        <v>SMSF/KAN/0205</v>
      </c>
      <c r="B424" s="2" t="str">
        <f aca="false">IFERROR(__xludf.dummyfunction("""COMPUTED_VALUE"""),"YADHAGIRI ARROLLA")</f>
        <v>YADHAGIRI ARROLLA</v>
      </c>
      <c r="C424" s="2" t="str">
        <f aca="false">IFERROR(__xludf.dummyfunction("""COMPUTED_VALUE"""),"Men &amp; Machines")</f>
        <v>Men &amp; Machines</v>
      </c>
      <c r="D424" s="2" t="str">
        <f aca="false">IFERROR(__xludf.dummyfunction("""COMPUTED_VALUE"""),"Kanha")</f>
        <v>Kanha</v>
      </c>
      <c r="E424" s="16" t="n">
        <f aca="false">IFERROR(__xludf.dummyfunction("""COMPUTED_VALUE"""),40892)</f>
        <v>40892</v>
      </c>
      <c r="F424" s="9" t="n">
        <f aca="false">IFERROR(__xludf.dummyfunction("""COMPUTED_VALUE"""),12700)</f>
        <v>12700</v>
      </c>
      <c r="G424" s="2" t="n">
        <f aca="false">IFERROR(__xludf.dummyfunction("""COMPUTED_VALUE"""),30)</f>
        <v>30</v>
      </c>
      <c r="H424" s="2" t="n">
        <f aca="false">IFERROR(__xludf.dummyfunction("""COMPUTED_VALUE"""),30)</f>
        <v>30</v>
      </c>
      <c r="I424" s="9" t="n">
        <f aca="false">IFERROR(__xludf.dummyfunction("""COMPUTED_VALUE"""),152400)</f>
        <v>152400</v>
      </c>
      <c r="J424" s="9" t="n">
        <f aca="false">IFERROR(__xludf.dummyfunction("""COMPUTED_VALUE"""),317)</f>
        <v>317</v>
      </c>
      <c r="K424" s="9"/>
      <c r="L424" s="9" t="n">
        <f aca="false">IFERROR(__xludf.dummyfunction("""COMPUTED_VALUE"""),0)</f>
        <v>0</v>
      </c>
      <c r="M424" s="9"/>
    </row>
    <row r="425" customFormat="false" ht="15.75" hidden="false" customHeight="false" outlineLevel="0" collapsed="false">
      <c r="A425" s="2" t="str">
        <f aca="false">IFERROR(__xludf.dummyfunction("""COMPUTED_VALUE"""),"SMSF/KAN/0854")</f>
        <v>SMSF/KAN/0854</v>
      </c>
      <c r="B425" s="2" t="str">
        <f aca="false">IFERROR(__xludf.dummyfunction("""COMPUTED_VALUE"""),"RINKOO RAJBHAR")</f>
        <v>RINKOO RAJBHAR</v>
      </c>
      <c r="C425" s="2" t="str">
        <f aca="false">IFERROR(__xludf.dummyfunction("""COMPUTED_VALUE"""),"Men &amp; Machines")</f>
        <v>Men &amp; Machines</v>
      </c>
      <c r="D425" s="2" t="str">
        <f aca="false">IFERROR(__xludf.dummyfunction("""COMPUTED_VALUE"""),"Kanha")</f>
        <v>Kanha</v>
      </c>
      <c r="E425" s="16" t="n">
        <f aca="false">IFERROR(__xludf.dummyfunction("""COMPUTED_VALUE"""),43278)</f>
        <v>43278</v>
      </c>
      <c r="F425" s="9" t="n">
        <f aca="false">IFERROR(__xludf.dummyfunction("""COMPUTED_VALUE"""),16500)</f>
        <v>16500</v>
      </c>
      <c r="G425" s="2" t="n">
        <f aca="false">IFERROR(__xludf.dummyfunction("""COMPUTED_VALUE"""),30)</f>
        <v>30</v>
      </c>
      <c r="H425" s="2" t="n">
        <f aca="false">IFERROR(__xludf.dummyfunction("""COMPUTED_VALUE"""),30)</f>
        <v>30</v>
      </c>
      <c r="I425" s="9" t="n">
        <f aca="false">IFERROR(__xludf.dummyfunction("""COMPUTED_VALUE"""),198000)</f>
        <v>198000</v>
      </c>
      <c r="J425" s="9" t="n">
        <f aca="false">IFERROR(__xludf.dummyfunction("""COMPUTED_VALUE"""),191)</f>
        <v>191</v>
      </c>
      <c r="K425" s="9"/>
      <c r="L425" s="9" t="n">
        <f aca="false">IFERROR(__xludf.dummyfunction("""COMPUTED_VALUE"""),0)</f>
        <v>0</v>
      </c>
      <c r="M425" s="9"/>
    </row>
    <row r="426" customFormat="false" ht="15.75" hidden="false" customHeight="false" outlineLevel="0" collapsed="false">
      <c r="A426" s="2" t="str">
        <f aca="false">IFERROR(__xludf.dummyfunction("""COMPUTED_VALUE"""),"SMSF/KAN/0924")</f>
        <v>SMSF/KAN/0924</v>
      </c>
      <c r="B426" s="2" t="str">
        <f aca="false">IFERROR(__xludf.dummyfunction("""COMPUTED_VALUE"""),"Chandrashekhar Gaud")</f>
        <v>Chandrashekhar Gaud</v>
      </c>
      <c r="C426" s="2" t="str">
        <f aca="false">IFERROR(__xludf.dummyfunction("""COMPUTED_VALUE"""),"Men &amp; Machines")</f>
        <v>Men &amp; Machines</v>
      </c>
      <c r="D426" s="2" t="str">
        <f aca="false">IFERROR(__xludf.dummyfunction("""COMPUTED_VALUE"""),"Kanha")</f>
        <v>Kanha</v>
      </c>
      <c r="E426" s="16" t="n">
        <f aca="false">IFERROR(__xludf.dummyfunction("""COMPUTED_VALUE"""),43491)</f>
        <v>43491</v>
      </c>
      <c r="F426" s="9" t="n">
        <f aca="false">IFERROR(__xludf.dummyfunction("""COMPUTED_VALUE"""),11500)</f>
        <v>11500</v>
      </c>
      <c r="G426" s="2" t="n">
        <f aca="false">IFERROR(__xludf.dummyfunction("""COMPUTED_VALUE"""),30)</f>
        <v>30</v>
      </c>
      <c r="H426" s="2" t="n">
        <f aca="false">IFERROR(__xludf.dummyfunction("""COMPUTED_VALUE"""),30)</f>
        <v>30</v>
      </c>
      <c r="I426" s="9" t="n">
        <f aca="false">IFERROR(__xludf.dummyfunction("""COMPUTED_VALUE"""),138000)</f>
        <v>138000</v>
      </c>
      <c r="J426" s="9" t="n">
        <f aca="false">IFERROR(__xludf.dummyfunction("""COMPUTED_VALUE"""),95)</f>
        <v>95</v>
      </c>
      <c r="K426" s="9"/>
      <c r="L426" s="9" t="n">
        <f aca="false">IFERROR(__xludf.dummyfunction("""COMPUTED_VALUE"""),0)</f>
        <v>0</v>
      </c>
      <c r="M426" s="9"/>
    </row>
    <row r="427" customFormat="false" ht="15.75" hidden="false" customHeight="false" outlineLevel="0" collapsed="false">
      <c r="A427" s="2" t="str">
        <f aca="false">IFERROR(__xludf.dummyfunction("""COMPUTED_VALUE"""),"SMSF/KAN/1040")</f>
        <v>SMSF/KAN/1040</v>
      </c>
      <c r="B427" s="2" t="str">
        <f aca="false">IFERROR(__xludf.dummyfunction("""COMPUTED_VALUE"""),"M.D.SABER")</f>
        <v>M.D.SABER</v>
      </c>
      <c r="C427" s="2" t="str">
        <f aca="false">IFERROR(__xludf.dummyfunction("""COMPUTED_VALUE"""),"Men &amp; Machines")</f>
        <v>Men &amp; Machines</v>
      </c>
      <c r="D427" s="2" t="str">
        <f aca="false">IFERROR(__xludf.dummyfunction("""COMPUTED_VALUE"""),"Kanha")</f>
        <v>Kanha</v>
      </c>
      <c r="E427" s="16" t="n">
        <f aca="false">IFERROR(__xludf.dummyfunction("""COMPUTED_VALUE"""),43522)</f>
        <v>43522</v>
      </c>
      <c r="F427" s="9" t="n">
        <f aca="false">IFERROR(__xludf.dummyfunction("""COMPUTED_VALUE"""),10000)</f>
        <v>10000</v>
      </c>
      <c r="G427" s="2" t="n">
        <f aca="false">IFERROR(__xludf.dummyfunction("""COMPUTED_VALUE"""),30)</f>
        <v>30</v>
      </c>
      <c r="H427" s="2" t="n">
        <f aca="false">IFERROR(__xludf.dummyfunction("""COMPUTED_VALUE"""),30)</f>
        <v>30</v>
      </c>
      <c r="I427" s="9" t="n">
        <f aca="false">IFERROR(__xludf.dummyfunction("""COMPUTED_VALUE"""),120000)</f>
        <v>120000</v>
      </c>
      <c r="J427" s="9" t="n">
        <f aca="false">IFERROR(__xludf.dummyfunction("""COMPUTED_VALUE"""),63)</f>
        <v>63</v>
      </c>
      <c r="K427" s="9"/>
      <c r="L427" s="9" t="n">
        <f aca="false">IFERROR(__xludf.dummyfunction("""COMPUTED_VALUE"""),0)</f>
        <v>0</v>
      </c>
      <c r="M427" s="9"/>
    </row>
    <row r="428" customFormat="false" ht="15.75" hidden="false" customHeight="false" outlineLevel="0" collapsed="false">
      <c r="A428" s="2" t="str">
        <f aca="false">IFERROR(__xludf.dummyfunction("""COMPUTED_VALUE"""),"SMSF/KAN/1041")</f>
        <v>SMSF/KAN/1041</v>
      </c>
      <c r="B428" s="2" t="str">
        <f aca="false">IFERROR(__xludf.dummyfunction("""COMPUTED_VALUE"""),"KATNA SIDHU")</f>
        <v>KATNA SIDHU</v>
      </c>
      <c r="C428" s="2" t="str">
        <f aca="false">IFERROR(__xludf.dummyfunction("""COMPUTED_VALUE"""),"Men &amp; Machines")</f>
        <v>Men &amp; Machines</v>
      </c>
      <c r="D428" s="2" t="str">
        <f aca="false">IFERROR(__xludf.dummyfunction("""COMPUTED_VALUE"""),"Kanha")</f>
        <v>Kanha</v>
      </c>
      <c r="E428" s="16" t="n">
        <f aca="false">IFERROR(__xludf.dummyfunction("""COMPUTED_VALUE"""),43522)</f>
        <v>43522</v>
      </c>
      <c r="F428" s="9" t="n">
        <f aca="false">IFERROR(__xludf.dummyfunction("""COMPUTED_VALUE"""),15000)</f>
        <v>15000</v>
      </c>
      <c r="G428" s="2" t="n">
        <f aca="false">IFERROR(__xludf.dummyfunction("""COMPUTED_VALUE"""),30)</f>
        <v>30</v>
      </c>
      <c r="H428" s="2" t="n">
        <f aca="false">IFERROR(__xludf.dummyfunction("""COMPUTED_VALUE"""),30)</f>
        <v>30</v>
      </c>
      <c r="I428" s="9" t="n">
        <f aca="false">IFERROR(__xludf.dummyfunction("""COMPUTED_VALUE"""),180000)</f>
        <v>180000</v>
      </c>
      <c r="J428" s="9" t="n">
        <f aca="false">IFERROR(__xludf.dummyfunction("""COMPUTED_VALUE"""),95)</f>
        <v>95</v>
      </c>
      <c r="K428" s="9"/>
      <c r="L428" s="9" t="n">
        <f aca="false">IFERROR(__xludf.dummyfunction("""COMPUTED_VALUE"""),0)</f>
        <v>0</v>
      </c>
      <c r="M428" s="9"/>
    </row>
    <row r="429" customFormat="false" ht="15.75" hidden="false" customHeight="false" outlineLevel="0" collapsed="false">
      <c r="A429" s="2" t="str">
        <f aca="false">IFERROR(__xludf.dummyfunction("""COMPUTED_VALUE"""),"SMSF/KAN/1043")</f>
        <v>SMSF/KAN/1043</v>
      </c>
      <c r="B429" s="2" t="str">
        <f aca="false">IFERROR(__xludf.dummyfunction("""COMPUTED_VALUE"""),"RALAPALLY MOHAN")</f>
        <v>RALAPALLY MOHAN</v>
      </c>
      <c r="C429" s="2" t="str">
        <f aca="false">IFERROR(__xludf.dummyfunction("""COMPUTED_VALUE"""),"Men &amp; Machines")</f>
        <v>Men &amp; Machines</v>
      </c>
      <c r="D429" s="2" t="str">
        <f aca="false">IFERROR(__xludf.dummyfunction("""COMPUTED_VALUE"""),"Kanha")</f>
        <v>Kanha</v>
      </c>
      <c r="E429" s="16" t="n">
        <f aca="false">IFERROR(__xludf.dummyfunction("""COMPUTED_VALUE"""),43522)</f>
        <v>43522</v>
      </c>
      <c r="F429" s="9" t="n">
        <f aca="false">IFERROR(__xludf.dummyfunction("""COMPUTED_VALUE"""),10500)</f>
        <v>10500</v>
      </c>
      <c r="G429" s="2" t="n">
        <f aca="false">IFERROR(__xludf.dummyfunction("""COMPUTED_VALUE"""),30)</f>
        <v>30</v>
      </c>
      <c r="H429" s="2" t="n">
        <f aca="false">IFERROR(__xludf.dummyfunction("""COMPUTED_VALUE"""),30)</f>
        <v>30</v>
      </c>
      <c r="I429" s="9" t="n">
        <f aca="false">IFERROR(__xludf.dummyfunction("""COMPUTED_VALUE"""),126000)</f>
        <v>126000</v>
      </c>
      <c r="J429" s="9" t="n">
        <f aca="false">IFERROR(__xludf.dummyfunction("""COMPUTED_VALUE"""),63)</f>
        <v>63</v>
      </c>
      <c r="K429" s="9"/>
      <c r="L429" s="9" t="n">
        <f aca="false">IFERROR(__xludf.dummyfunction("""COMPUTED_VALUE"""),0)</f>
        <v>0</v>
      </c>
      <c r="M429" s="9"/>
    </row>
    <row r="430" customFormat="false" ht="15.75" hidden="false" customHeight="false" outlineLevel="0" collapsed="false">
      <c r="A430" s="2" t="str">
        <f aca="false">IFERROR(__xludf.dummyfunction("""COMPUTED_VALUE"""),"SMSF/KAN/1045")</f>
        <v>SMSF/KAN/1045</v>
      </c>
      <c r="B430" s="2" t="str">
        <f aca="false">IFERROR(__xludf.dummyfunction("""COMPUTED_VALUE"""),"CHAKALI ARJUN")</f>
        <v>CHAKALI ARJUN</v>
      </c>
      <c r="C430" s="2" t="str">
        <f aca="false">IFERROR(__xludf.dummyfunction("""COMPUTED_VALUE"""),"Men &amp; Machines")</f>
        <v>Men &amp; Machines</v>
      </c>
      <c r="D430" s="2" t="str">
        <f aca="false">IFERROR(__xludf.dummyfunction("""COMPUTED_VALUE"""),"Kanha")</f>
        <v>Kanha</v>
      </c>
      <c r="E430" s="16" t="n">
        <f aca="false">IFERROR(__xludf.dummyfunction("""COMPUTED_VALUE"""),43522)</f>
        <v>43522</v>
      </c>
      <c r="F430" s="9" t="n">
        <f aca="false">IFERROR(__xludf.dummyfunction("""COMPUTED_VALUE"""),15000)</f>
        <v>15000</v>
      </c>
      <c r="G430" s="2" t="n">
        <f aca="false">IFERROR(__xludf.dummyfunction("""COMPUTED_VALUE"""),30)</f>
        <v>30</v>
      </c>
      <c r="H430" s="2" t="n">
        <f aca="false">IFERROR(__xludf.dummyfunction("""COMPUTED_VALUE"""),30)</f>
        <v>30</v>
      </c>
      <c r="I430" s="9" t="n">
        <f aca="false">IFERROR(__xludf.dummyfunction("""COMPUTED_VALUE"""),180000)</f>
        <v>180000</v>
      </c>
      <c r="J430" s="9" t="n">
        <f aca="false">IFERROR(__xludf.dummyfunction("""COMPUTED_VALUE"""),63)</f>
        <v>63</v>
      </c>
      <c r="K430" s="9"/>
      <c r="L430" s="9" t="n">
        <f aca="false">IFERROR(__xludf.dummyfunction("""COMPUTED_VALUE"""),0)</f>
        <v>0</v>
      </c>
      <c r="M430" s="9"/>
    </row>
    <row r="431" customFormat="false" ht="15.75" hidden="false" customHeight="false" outlineLevel="0" collapsed="false">
      <c r="A431" s="2" t="str">
        <f aca="false">IFERROR(__xludf.dummyfunction("""COMPUTED_VALUE"""),"SMSF/KAN/1064")</f>
        <v>SMSF/KAN/1064</v>
      </c>
      <c r="B431" s="2" t="str">
        <f aca="false">IFERROR(__xludf.dummyfunction("""COMPUTED_VALUE"""),"Guruprakash")</f>
        <v>Guruprakash</v>
      </c>
      <c r="C431" s="2" t="str">
        <f aca="false">IFERROR(__xludf.dummyfunction("""COMPUTED_VALUE"""),"Men &amp; Machines")</f>
        <v>Men &amp; Machines</v>
      </c>
      <c r="D431" s="2" t="str">
        <f aca="false">IFERROR(__xludf.dummyfunction("""COMPUTED_VALUE"""),"Kanha")</f>
        <v>Kanha</v>
      </c>
      <c r="E431" s="16" t="n">
        <f aca="false">IFERROR(__xludf.dummyfunction("""COMPUTED_VALUE"""),43550)</f>
        <v>43550</v>
      </c>
      <c r="F431" s="9" t="n">
        <f aca="false">IFERROR(__xludf.dummyfunction("""COMPUTED_VALUE"""),11500)</f>
        <v>11500</v>
      </c>
      <c r="G431" s="2" t="n">
        <f aca="false">IFERROR(__xludf.dummyfunction("""COMPUTED_VALUE"""),30)</f>
        <v>30</v>
      </c>
      <c r="H431" s="2" t="n">
        <f aca="false">IFERROR(__xludf.dummyfunction("""COMPUTED_VALUE"""),30)</f>
        <v>30</v>
      </c>
      <c r="I431" s="9" t="n">
        <f aca="false">IFERROR(__xludf.dummyfunction("""COMPUTED_VALUE"""),138000)</f>
        <v>138000</v>
      </c>
      <c r="J431" s="9" t="n">
        <f aca="false">IFERROR(__xludf.dummyfunction("""COMPUTED_VALUE"""),95)</f>
        <v>95</v>
      </c>
      <c r="K431" s="9"/>
      <c r="L431" s="9" t="n">
        <f aca="false">IFERROR(__xludf.dummyfunction("""COMPUTED_VALUE"""),0)</f>
        <v>0</v>
      </c>
      <c r="M431" s="9"/>
    </row>
    <row r="432" customFormat="false" ht="15.75" hidden="false" customHeight="false" outlineLevel="0" collapsed="false">
      <c r="A432" s="2" t="str">
        <f aca="false">IFERROR(__xludf.dummyfunction("""COMPUTED_VALUE"""),"
SMSF/KAN/1083")</f>
        <v>
SMSF/KAN/1083</v>
      </c>
      <c r="B432" s="2" t="str">
        <f aca="false">IFERROR(__xludf.dummyfunction("""COMPUTED_VALUE"""),"SRIKANTH")</f>
        <v>SRIKANTH</v>
      </c>
      <c r="C432" s="2" t="str">
        <f aca="false">IFERROR(__xludf.dummyfunction("""COMPUTED_VALUE"""),"Men &amp; Machines")</f>
        <v>Men &amp; Machines</v>
      </c>
      <c r="D432" s="2" t="str">
        <f aca="false">IFERROR(__xludf.dummyfunction("""COMPUTED_VALUE"""),"Kanha")</f>
        <v>Kanha</v>
      </c>
      <c r="E432" s="16" t="n">
        <f aca="false">IFERROR(__xludf.dummyfunction("""COMPUTED_VALUE"""),43550)</f>
        <v>43550</v>
      </c>
      <c r="F432" s="9" t="n">
        <f aca="false">IFERROR(__xludf.dummyfunction("""COMPUTED_VALUE"""),10000)</f>
        <v>10000</v>
      </c>
      <c r="G432" s="2" t="n">
        <f aca="false">IFERROR(__xludf.dummyfunction("""COMPUTED_VALUE"""),30)</f>
        <v>30</v>
      </c>
      <c r="H432" s="2" t="n">
        <f aca="false">IFERROR(__xludf.dummyfunction("""COMPUTED_VALUE"""),30)</f>
        <v>30</v>
      </c>
      <c r="I432" s="9" t="n">
        <f aca="false">IFERROR(__xludf.dummyfunction("""COMPUTED_VALUE"""),120000)</f>
        <v>120000</v>
      </c>
      <c r="J432" s="9" t="n">
        <f aca="false">IFERROR(__xludf.dummyfunction("""COMPUTED_VALUE"""),63)</f>
        <v>63</v>
      </c>
      <c r="K432" s="9"/>
      <c r="L432" s="9" t="n">
        <f aca="false">IFERROR(__xludf.dummyfunction("""COMPUTED_VALUE"""),0)</f>
        <v>0</v>
      </c>
      <c r="M432" s="9"/>
    </row>
    <row r="433" customFormat="false" ht="15.75" hidden="false" customHeight="false" outlineLevel="0" collapsed="false">
      <c r="A433" s="2" t="str">
        <f aca="false">IFERROR(__xludf.dummyfunction("""COMPUTED_VALUE"""),"SMSF/KAN/1086")</f>
        <v>SMSF/KAN/1086</v>
      </c>
      <c r="B433" s="2" t="str">
        <f aca="false">IFERROR(__xludf.dummyfunction("""COMPUTED_VALUE"""),"NAVEEN")</f>
        <v>NAVEEN</v>
      </c>
      <c r="C433" s="2" t="str">
        <f aca="false">IFERROR(__xludf.dummyfunction("""COMPUTED_VALUE"""),"Men &amp; Machines")</f>
        <v>Men &amp; Machines</v>
      </c>
      <c r="D433" s="2" t="str">
        <f aca="false">IFERROR(__xludf.dummyfunction("""COMPUTED_VALUE"""),"Kanha")</f>
        <v>Kanha</v>
      </c>
      <c r="E433" s="16" t="n">
        <f aca="false">IFERROR(__xludf.dummyfunction("""COMPUTED_VALUE"""),43550)</f>
        <v>43550</v>
      </c>
      <c r="F433" s="9" t="n">
        <f aca="false">IFERROR(__xludf.dummyfunction("""COMPUTED_VALUE"""),10000)</f>
        <v>10000</v>
      </c>
      <c r="G433" s="2" t="n">
        <f aca="false">IFERROR(__xludf.dummyfunction("""COMPUTED_VALUE"""),30)</f>
        <v>30</v>
      </c>
      <c r="H433" s="2" t="n">
        <f aca="false">IFERROR(__xludf.dummyfunction("""COMPUTED_VALUE"""),30)</f>
        <v>30</v>
      </c>
      <c r="I433" s="9" t="n">
        <f aca="false">IFERROR(__xludf.dummyfunction("""COMPUTED_VALUE"""),120000)</f>
        <v>120000</v>
      </c>
      <c r="J433" s="9" t="n">
        <f aca="false">IFERROR(__xludf.dummyfunction("""COMPUTED_VALUE"""),63)</f>
        <v>63</v>
      </c>
      <c r="K433" s="9"/>
      <c r="L433" s="9" t="n">
        <f aca="false">IFERROR(__xludf.dummyfunction("""COMPUTED_VALUE"""),0)</f>
        <v>0</v>
      </c>
      <c r="M433" s="9"/>
    </row>
    <row r="434" customFormat="false" ht="15.75" hidden="false" customHeight="false" outlineLevel="0" collapsed="false">
      <c r="A434" s="2" t="str">
        <f aca="false">IFERROR(__xludf.dummyfunction("""COMPUTED_VALUE"""),"SMSF/KAN/0604")</f>
        <v>SMSF/KAN/0604</v>
      </c>
      <c r="B434" s="2" t="str">
        <f aca="false">IFERROR(__xludf.dummyfunction("""COMPUTED_VALUE"""),"Shamshur Basha Kalyan")</f>
        <v>Shamshur Basha Kalyan</v>
      </c>
      <c r="C434" s="2" t="str">
        <f aca="false">IFERROR(__xludf.dummyfunction("""COMPUTED_VALUE"""),"Men &amp; Machines")</f>
        <v>Men &amp; Machines</v>
      </c>
      <c r="D434" s="2" t="str">
        <f aca="false">IFERROR(__xludf.dummyfunction("""COMPUTED_VALUE"""),"Kanha")</f>
        <v>Kanha</v>
      </c>
      <c r="E434" s="16" t="n">
        <f aca="false">IFERROR(__xludf.dummyfunction("""COMPUTED_VALUE"""),43040)</f>
        <v>43040</v>
      </c>
      <c r="F434" s="9" t="n">
        <f aca="false">IFERROR(__xludf.dummyfunction("""COMPUTED_VALUE"""),13200)</f>
        <v>13200</v>
      </c>
      <c r="G434" s="2" t="n">
        <f aca="false">IFERROR(__xludf.dummyfunction("""COMPUTED_VALUE"""),30)</f>
        <v>30</v>
      </c>
      <c r="H434" s="2" t="n">
        <f aca="false">IFERROR(__xludf.dummyfunction("""COMPUTED_VALUE"""),30)</f>
        <v>30</v>
      </c>
      <c r="I434" s="9" t="n">
        <f aca="false">IFERROR(__xludf.dummyfunction("""COMPUTED_VALUE"""),158400)</f>
        <v>158400</v>
      </c>
      <c r="J434" s="9" t="n">
        <f aca="false">IFERROR(__xludf.dummyfunction("""COMPUTED_VALUE"""),63)</f>
        <v>63</v>
      </c>
      <c r="K434" s="9"/>
      <c r="L434" s="9" t="n">
        <f aca="false">IFERROR(__xludf.dummyfunction("""COMPUTED_VALUE"""),0)</f>
        <v>0</v>
      </c>
      <c r="M434" s="9"/>
    </row>
    <row r="435" customFormat="false" ht="15.75" hidden="false" customHeight="false" outlineLevel="0" collapsed="false">
      <c r="A435" s="2" t="str">
        <f aca="false">IFERROR(__xludf.dummyfunction("""COMPUTED_VALUE"""),"SHKJ/KAN/1213")</f>
        <v>SHKJ/KAN/1213</v>
      </c>
      <c r="B435" s="2" t="str">
        <f aca="false">IFERROR(__xludf.dummyfunction("""COMPUTED_VALUE"""),"Bollu Mallesh ")</f>
        <v>Bollu Mallesh </v>
      </c>
      <c r="C435" s="2" t="str">
        <f aca="false">IFERROR(__xludf.dummyfunction("""COMPUTED_VALUE"""),"Security")</f>
        <v>Security</v>
      </c>
      <c r="D435" s="2" t="str">
        <f aca="false">IFERROR(__xludf.dummyfunction("""COMPUTED_VALUE"""),"Kanha")</f>
        <v>Kanha</v>
      </c>
      <c r="E435" s="16" t="n">
        <f aca="false">IFERROR(__xludf.dummyfunction("""COMPUTED_VALUE"""),43712)</f>
        <v>43712</v>
      </c>
      <c r="F435" s="9" t="n">
        <f aca="false">IFERROR(__xludf.dummyfunction("""COMPUTED_VALUE"""),14000)</f>
        <v>14000</v>
      </c>
      <c r="G435" s="2" t="n">
        <f aca="false">IFERROR(__xludf.dummyfunction("""COMPUTED_VALUE"""),30)</f>
        <v>30</v>
      </c>
      <c r="H435" s="2" t="n">
        <f aca="false">IFERROR(__xludf.dummyfunction("""COMPUTED_VALUE"""),30)</f>
        <v>30</v>
      </c>
      <c r="I435" s="9" t="n">
        <f aca="false">IFERROR(__xludf.dummyfunction("""COMPUTED_VALUE"""),168000)</f>
        <v>168000</v>
      </c>
      <c r="J435" s="9" t="n">
        <f aca="false">IFERROR(__xludf.dummyfunction("""COMPUTED_VALUE"""),413)</f>
        <v>413</v>
      </c>
      <c r="K435" s="9"/>
      <c r="L435" s="9" t="n">
        <f aca="false">IFERROR(__xludf.dummyfunction("""COMPUTED_VALUE"""),0)</f>
        <v>0</v>
      </c>
      <c r="M435" s="9"/>
    </row>
    <row r="436" customFormat="false" ht="15.75" hidden="false" customHeight="false" outlineLevel="0" collapsed="false">
      <c r="A436" s="2" t="str">
        <f aca="false">IFERROR(__xludf.dummyfunction("""COMPUTED_VALUE"""),"SHKJ/KAN/1206")</f>
        <v>SHKJ/KAN/1206</v>
      </c>
      <c r="B436" s="2" t="str">
        <f aca="false">IFERROR(__xludf.dummyfunction("""COMPUTED_VALUE"""),"Prem Kumar Nirna")</f>
        <v>Prem Kumar Nirna</v>
      </c>
      <c r="C436" s="2" t="str">
        <f aca="false">IFERROR(__xludf.dummyfunction("""COMPUTED_VALUE"""),"Information Centre")</f>
        <v>Information Centre</v>
      </c>
      <c r="D436" s="2" t="str">
        <f aca="false">IFERROR(__xludf.dummyfunction("""COMPUTED_VALUE"""),"Kanha")</f>
        <v>Kanha</v>
      </c>
      <c r="E436" s="16" t="n">
        <f aca="false">IFERROR(__xludf.dummyfunction("""COMPUTED_VALUE"""),43691)</f>
        <v>43691</v>
      </c>
      <c r="F436" s="9" t="n">
        <f aca="false">IFERROR(__xludf.dummyfunction("""COMPUTED_VALUE"""),22000)</f>
        <v>22000</v>
      </c>
      <c r="G436" s="2" t="n">
        <f aca="false">IFERROR(__xludf.dummyfunction("""COMPUTED_VALUE"""),30)</f>
        <v>30</v>
      </c>
      <c r="H436" s="2" t="n">
        <f aca="false">IFERROR(__xludf.dummyfunction("""COMPUTED_VALUE"""),30)</f>
        <v>30</v>
      </c>
      <c r="I436" s="9" t="n">
        <f aca="false">IFERROR(__xludf.dummyfunction("""COMPUTED_VALUE"""),264000)</f>
        <v>264000</v>
      </c>
      <c r="J436" s="9" t="n">
        <f aca="false">IFERROR(__xludf.dummyfunction("""COMPUTED_VALUE"""),0)</f>
        <v>0</v>
      </c>
      <c r="K436" s="9"/>
      <c r="L436" s="9" t="n">
        <f aca="false">IFERROR(__xludf.dummyfunction("""COMPUTED_VALUE"""),0)</f>
        <v>0</v>
      </c>
      <c r="M436" s="9"/>
    </row>
    <row r="437" customFormat="false" ht="15.75" hidden="false" customHeight="false" outlineLevel="0" collapsed="false">
      <c r="A437" s="2" t="str">
        <f aca="false">IFERROR(__xludf.dummyfunction("""COMPUTED_VALUE"""),"SHKJ/KAN/1355")</f>
        <v>SHKJ/KAN/1355</v>
      </c>
      <c r="B437" s="2" t="str">
        <f aca="false">IFERROR(__xludf.dummyfunction("""COMPUTED_VALUE"""),"Golla Hitya Venkataiah")</f>
        <v>Golla Hitya Venkataiah</v>
      </c>
      <c r="C437" s="2" t="str">
        <f aca="false">IFERROR(__xludf.dummyfunction("""COMPUTED_VALUE"""),"Maintenance")</f>
        <v>Maintenance</v>
      </c>
      <c r="D437" s="2" t="str">
        <f aca="false">IFERROR(__xludf.dummyfunction("""COMPUTED_VALUE"""),"Kanha")</f>
        <v>Kanha</v>
      </c>
      <c r="E437" s="16" t="n">
        <f aca="false">IFERROR(__xludf.dummyfunction("""COMPUTED_VALUE"""),43647)</f>
        <v>43647</v>
      </c>
      <c r="F437" s="9" t="n">
        <f aca="false">IFERROR(__xludf.dummyfunction("""COMPUTED_VALUE"""),10000)</f>
        <v>10000</v>
      </c>
      <c r="G437" s="2" t="n">
        <f aca="false">IFERROR(__xludf.dummyfunction("""COMPUTED_VALUE"""),30)</f>
        <v>30</v>
      </c>
      <c r="H437" s="2" t="n">
        <f aca="false">IFERROR(__xludf.dummyfunction("""COMPUTED_VALUE"""),30)</f>
        <v>30</v>
      </c>
      <c r="I437" s="9" t="n">
        <f aca="false">IFERROR(__xludf.dummyfunction("""COMPUTED_VALUE"""),120000)</f>
        <v>120000</v>
      </c>
      <c r="J437" s="9" t="n">
        <f aca="false">IFERROR(__xludf.dummyfunction("""COMPUTED_VALUE"""),74)</f>
        <v>74</v>
      </c>
      <c r="K437" s="9"/>
      <c r="L437" s="9" t="n">
        <f aca="false">IFERROR(__xludf.dummyfunction("""COMPUTED_VALUE"""),0)</f>
        <v>0</v>
      </c>
      <c r="M437" s="9"/>
    </row>
    <row r="438" customFormat="false" ht="15.75" hidden="false" customHeight="false" outlineLevel="0" collapsed="false">
      <c r="A438" s="2" t="str">
        <f aca="false">IFERROR(__xludf.dummyfunction("""COMPUTED_VALUE"""),"SHKJ/KAN/1194")</f>
        <v>SHKJ/KAN/1194</v>
      </c>
      <c r="B438" s="2" t="str">
        <f aca="false">IFERROR(__xludf.dummyfunction("""COMPUTED_VALUE"""),"Pullepu Naga Phanindra Kumar")</f>
        <v>Pullepu Naga Phanindra Kumar</v>
      </c>
      <c r="C438" s="2" t="str">
        <f aca="false">IFERROR(__xludf.dummyfunction("""COMPUTED_VALUE"""),"Electrical")</f>
        <v>Electrical</v>
      </c>
      <c r="D438" s="2" t="str">
        <f aca="false">IFERROR(__xludf.dummyfunction("""COMPUTED_VALUE"""),"Kanha")</f>
        <v>Kanha</v>
      </c>
      <c r="E438" s="16" t="n">
        <f aca="false">IFERROR(__xludf.dummyfunction("""COMPUTED_VALUE"""),43708)</f>
        <v>43708</v>
      </c>
      <c r="F438" s="9" t="n">
        <f aca="false">IFERROR(__xludf.dummyfunction("""COMPUTED_VALUE"""),13000)</f>
        <v>13000</v>
      </c>
      <c r="G438" s="2" t="n">
        <f aca="false">IFERROR(__xludf.dummyfunction("""COMPUTED_VALUE"""),30)</f>
        <v>30</v>
      </c>
      <c r="H438" s="2" t="n">
        <f aca="false">IFERROR(__xludf.dummyfunction("""COMPUTED_VALUE"""),30)</f>
        <v>30</v>
      </c>
      <c r="I438" s="9" t="n">
        <f aca="false">IFERROR(__xludf.dummyfunction("""COMPUTED_VALUE"""),156000)</f>
        <v>156000</v>
      </c>
      <c r="J438" s="9" t="n">
        <f aca="false">IFERROR(__xludf.dummyfunction("""COMPUTED_VALUE"""),63)</f>
        <v>63</v>
      </c>
      <c r="K438" s="9"/>
      <c r="L438" s="9" t="n">
        <f aca="false">IFERROR(__xludf.dummyfunction("""COMPUTED_VALUE"""),0)</f>
        <v>0</v>
      </c>
      <c r="M438" s="9"/>
    </row>
    <row r="439" customFormat="false" ht="15.75" hidden="false" customHeight="false" outlineLevel="0" collapsed="false">
      <c r="A439" s="2" t="str">
        <f aca="false">IFERROR(__xludf.dummyfunction("""COMPUTED_VALUE"""),"HET/KAN/1192")</f>
        <v>HET/KAN/1192</v>
      </c>
      <c r="B439" s="2" t="str">
        <f aca="false">IFERROR(__xludf.dummyfunction("""COMPUTED_VALUE"""),"Challa Janardhanarao")</f>
        <v>Challa Janardhanarao</v>
      </c>
      <c r="C439" s="2" t="str">
        <f aca="false">IFERROR(__xludf.dummyfunction("""COMPUTED_VALUE"""),"IT ")</f>
        <v>IT </v>
      </c>
      <c r="D439" s="2" t="str">
        <f aca="false">IFERROR(__xludf.dummyfunction("""COMPUTED_VALUE"""),"Kanha")</f>
        <v>Kanha</v>
      </c>
      <c r="E439" s="16" t="n">
        <f aca="false">IFERROR(__xludf.dummyfunction("""COMPUTED_VALUE"""),43700)</f>
        <v>43700</v>
      </c>
      <c r="F439" s="9" t="n">
        <f aca="false">IFERROR(__xludf.dummyfunction("""COMPUTED_VALUE"""),15000)</f>
        <v>15000</v>
      </c>
      <c r="G439" s="2" t="n">
        <f aca="false">IFERROR(__xludf.dummyfunction("""COMPUTED_VALUE"""),30)</f>
        <v>30</v>
      </c>
      <c r="H439" s="2" t="n">
        <f aca="false">IFERROR(__xludf.dummyfunction("""COMPUTED_VALUE"""),30)</f>
        <v>30</v>
      </c>
      <c r="I439" s="9" t="n">
        <f aca="false">IFERROR(__xludf.dummyfunction("""COMPUTED_VALUE"""),180000)</f>
        <v>180000</v>
      </c>
      <c r="J439" s="9" t="n">
        <f aca="false">IFERROR(__xludf.dummyfunction("""COMPUTED_VALUE"""),63)</f>
        <v>63</v>
      </c>
      <c r="K439" s="9"/>
      <c r="L439" s="9" t="n">
        <f aca="false">IFERROR(__xludf.dummyfunction("""COMPUTED_VALUE"""),0)</f>
        <v>0</v>
      </c>
      <c r="M439" s="9"/>
    </row>
    <row r="440" customFormat="false" ht="15.75" hidden="false" customHeight="false" outlineLevel="0" collapsed="false">
      <c r="A440" s="2" t="str">
        <f aca="false">IFERROR(__xludf.dummyfunction("""COMPUTED_VALUE"""),"SHKJ/KAN/1193")</f>
        <v>SHKJ/KAN/1193</v>
      </c>
      <c r="B440" s="2" t="str">
        <f aca="false">IFERROR(__xludf.dummyfunction("""COMPUTED_VALUE"""),"Nagarajan M")</f>
        <v>Nagarajan M</v>
      </c>
      <c r="C440" s="2" t="str">
        <f aca="false">IFERROR(__xludf.dummyfunction("""COMPUTED_VALUE"""),"Electrical")</f>
        <v>Electrical</v>
      </c>
      <c r="D440" s="2" t="str">
        <f aca="false">IFERROR(__xludf.dummyfunction("""COMPUTED_VALUE"""),"Kanha")</f>
        <v>Kanha</v>
      </c>
      <c r="E440" s="16" t="n">
        <f aca="false">IFERROR(__xludf.dummyfunction("""COMPUTED_VALUE"""),43708)</f>
        <v>43708</v>
      </c>
      <c r="F440" s="9" t="n">
        <f aca="false">IFERROR(__xludf.dummyfunction("""COMPUTED_VALUE"""),15000)</f>
        <v>15000</v>
      </c>
      <c r="G440" s="2" t="n">
        <f aca="false">IFERROR(__xludf.dummyfunction("""COMPUTED_VALUE"""),30)</f>
        <v>30</v>
      </c>
      <c r="H440" s="2" t="n">
        <f aca="false">IFERROR(__xludf.dummyfunction("""COMPUTED_VALUE"""),30)</f>
        <v>30</v>
      </c>
      <c r="I440" s="9" t="n">
        <f aca="false">IFERROR(__xludf.dummyfunction("""COMPUTED_VALUE"""),180000)</f>
        <v>180000</v>
      </c>
      <c r="J440" s="9" t="n">
        <f aca="false">IFERROR(__xludf.dummyfunction("""COMPUTED_VALUE"""),95)</f>
        <v>95</v>
      </c>
      <c r="K440" s="9"/>
      <c r="L440" s="9" t="n">
        <f aca="false">IFERROR(__xludf.dummyfunction("""COMPUTED_VALUE"""),0)</f>
        <v>0</v>
      </c>
      <c r="M440" s="9"/>
    </row>
    <row r="441" customFormat="false" ht="15.75" hidden="false" customHeight="false" outlineLevel="0" collapsed="false">
      <c r="A441" s="2" t="str">
        <f aca="false">IFERROR(__xludf.dummyfunction("""COMPUTED_VALUE"""),"SHKJ/KAN/1258")</f>
        <v>SHKJ/KAN/1258</v>
      </c>
      <c r="B441" s="2" t="str">
        <f aca="false">IFERROR(__xludf.dummyfunction("""COMPUTED_VALUE"""),"Gaju Lakshminadh")</f>
        <v>Gaju Lakshminadh</v>
      </c>
      <c r="C441" s="2" t="str">
        <f aca="false">IFERROR(__xludf.dummyfunction("""COMPUTED_VALUE"""),"Civil")</f>
        <v>Civil</v>
      </c>
      <c r="D441" s="2" t="str">
        <f aca="false">IFERROR(__xludf.dummyfunction("""COMPUTED_VALUE"""),"Kanha")</f>
        <v>Kanha</v>
      </c>
      <c r="E441" s="16" t="n">
        <f aca="false">IFERROR(__xludf.dummyfunction("""COMPUTED_VALUE"""),43734)</f>
        <v>43734</v>
      </c>
      <c r="F441" s="9" t="n">
        <f aca="false">IFERROR(__xludf.dummyfunction("""COMPUTED_VALUE"""),35000)</f>
        <v>35000</v>
      </c>
      <c r="G441" s="2" t="n">
        <f aca="false">IFERROR(__xludf.dummyfunction("""COMPUTED_VALUE"""),30)</f>
        <v>30</v>
      </c>
      <c r="H441" s="2" t="n">
        <f aca="false">IFERROR(__xludf.dummyfunction("""COMPUTED_VALUE"""),30)</f>
        <v>30</v>
      </c>
      <c r="I441" s="9" t="n">
        <f aca="false">IFERROR(__xludf.dummyfunction("""COMPUTED_VALUE"""),420000)</f>
        <v>420000</v>
      </c>
      <c r="J441" s="9" t="n">
        <f aca="false">IFERROR(__xludf.dummyfunction("""COMPUTED_VALUE"""),95)</f>
        <v>95</v>
      </c>
      <c r="K441" s="9"/>
      <c r="L441" s="9" t="n">
        <f aca="false">IFERROR(__xludf.dummyfunction("""COMPUTED_VALUE"""),0)</f>
        <v>0</v>
      </c>
      <c r="M441" s="9"/>
    </row>
    <row r="442" customFormat="false" ht="15.75" hidden="false" customHeight="false" outlineLevel="0" collapsed="false">
      <c r="A442" s="2" t="str">
        <f aca="false">IFERROR(__xludf.dummyfunction("""COMPUTED_VALUE"""),"SHKJ/KAN/1262")</f>
        <v>SHKJ/KAN/1262</v>
      </c>
      <c r="B442" s="2" t="str">
        <f aca="false">IFERROR(__xludf.dummyfunction("""COMPUTED_VALUE"""),"Makhan Lal")</f>
        <v>Makhan Lal</v>
      </c>
      <c r="C442" s="2" t="str">
        <f aca="false">IFERROR(__xludf.dummyfunction("""COMPUTED_VALUE"""),"Men &amp; Machines")</f>
        <v>Men &amp; Machines</v>
      </c>
      <c r="D442" s="2" t="str">
        <f aca="false">IFERROR(__xludf.dummyfunction("""COMPUTED_VALUE"""),"Kanha")</f>
        <v>Kanha</v>
      </c>
      <c r="E442" s="16" t="n">
        <f aca="false">IFERROR(__xludf.dummyfunction("""COMPUTED_VALUE"""),43727)</f>
        <v>43727</v>
      </c>
      <c r="F442" s="9" t="n">
        <f aca="false">IFERROR(__xludf.dummyfunction("""COMPUTED_VALUE"""),22000)</f>
        <v>22000</v>
      </c>
      <c r="G442" s="2" t="n">
        <f aca="false">IFERROR(__xludf.dummyfunction("""COMPUTED_VALUE"""),30)</f>
        <v>30</v>
      </c>
      <c r="H442" s="2" t="n">
        <f aca="false">IFERROR(__xludf.dummyfunction("""COMPUTED_VALUE"""),30)</f>
        <v>30</v>
      </c>
      <c r="I442" s="9" t="n">
        <f aca="false">IFERROR(__xludf.dummyfunction("""COMPUTED_VALUE"""),264000)</f>
        <v>264000</v>
      </c>
      <c r="J442" s="9" t="n">
        <f aca="false">IFERROR(__xludf.dummyfunction("""COMPUTED_VALUE"""),443)</f>
        <v>443</v>
      </c>
      <c r="K442" s="9"/>
      <c r="L442" s="9" t="n">
        <f aca="false">IFERROR(__xludf.dummyfunction("""COMPUTED_VALUE"""),0)</f>
        <v>0</v>
      </c>
      <c r="M442" s="9"/>
    </row>
    <row r="443" customFormat="false" ht="15.75" hidden="false" customHeight="false" outlineLevel="0" collapsed="false">
      <c r="A443" s="2" t="str">
        <f aca="false">IFERROR(__xludf.dummyfunction("""COMPUTED_VALUE"""),"SHKJ/KAN/1261")</f>
        <v>SHKJ/KAN/1261</v>
      </c>
      <c r="B443" s="2" t="str">
        <f aca="false">IFERROR(__xludf.dummyfunction("""COMPUTED_VALUE"""),"Katta Uday Teja")</f>
        <v>Katta Uday Teja</v>
      </c>
      <c r="C443" s="2" t="str">
        <f aca="false">IFERROR(__xludf.dummyfunction("""COMPUTED_VALUE"""),"Tool Room")</f>
        <v>Tool Room</v>
      </c>
      <c r="D443" s="2" t="str">
        <f aca="false">IFERROR(__xludf.dummyfunction("""COMPUTED_VALUE"""),"Kanha")</f>
        <v>Kanha</v>
      </c>
      <c r="E443" s="16" t="n">
        <f aca="false">IFERROR(__xludf.dummyfunction("""COMPUTED_VALUE"""),43739)</f>
        <v>43739</v>
      </c>
      <c r="F443" s="9" t="n">
        <f aca="false">IFERROR(__xludf.dummyfunction("""COMPUTED_VALUE"""),12000)</f>
        <v>12000</v>
      </c>
      <c r="G443" s="2" t="n">
        <f aca="false">IFERROR(__xludf.dummyfunction("""COMPUTED_VALUE"""),30)</f>
        <v>30</v>
      </c>
      <c r="H443" s="2" t="n">
        <f aca="false">IFERROR(__xludf.dummyfunction("""COMPUTED_VALUE"""),30)</f>
        <v>30</v>
      </c>
      <c r="I443" s="9" t="n">
        <f aca="false">IFERROR(__xludf.dummyfunction("""COMPUTED_VALUE"""),144000)</f>
        <v>144000</v>
      </c>
      <c r="J443" s="9" t="n">
        <f aca="false">IFERROR(__xludf.dummyfunction("""COMPUTED_VALUE"""),63)</f>
        <v>63</v>
      </c>
      <c r="K443" s="9"/>
      <c r="L443" s="9" t="n">
        <f aca="false">IFERROR(__xludf.dummyfunction("""COMPUTED_VALUE"""),0)</f>
        <v>0</v>
      </c>
      <c r="M443" s="9"/>
    </row>
    <row r="444" customFormat="false" ht="15.75" hidden="false" customHeight="false" outlineLevel="0" collapsed="false">
      <c r="A444" s="2" t="str">
        <f aca="false">IFERROR(__xludf.dummyfunction("""COMPUTED_VALUE"""),"SHKJ/KAN/1263")</f>
        <v>SHKJ/KAN/1263</v>
      </c>
      <c r="B444" s="2" t="str">
        <f aca="false">IFERROR(__xludf.dummyfunction("""COMPUTED_VALUE"""),"Bugga Sanjiva")</f>
        <v>Bugga Sanjiva</v>
      </c>
      <c r="C444" s="2" t="str">
        <f aca="false">IFERROR(__xludf.dummyfunction("""COMPUTED_VALUE"""),"Men &amp; Machines")</f>
        <v>Men &amp; Machines</v>
      </c>
      <c r="D444" s="2" t="str">
        <f aca="false">IFERROR(__xludf.dummyfunction("""COMPUTED_VALUE"""),"Kanha")</f>
        <v>Kanha</v>
      </c>
      <c r="E444" s="16" t="n">
        <f aca="false">IFERROR(__xludf.dummyfunction("""COMPUTED_VALUE"""),43734)</f>
        <v>43734</v>
      </c>
      <c r="F444" s="9" t="n">
        <f aca="false">IFERROR(__xludf.dummyfunction("""COMPUTED_VALUE"""),10500)</f>
        <v>10500</v>
      </c>
      <c r="G444" s="2" t="n">
        <f aca="false">IFERROR(__xludf.dummyfunction("""COMPUTED_VALUE"""),30)</f>
        <v>30</v>
      </c>
      <c r="H444" s="2" t="n">
        <f aca="false">IFERROR(__xludf.dummyfunction("""COMPUTED_VALUE"""),30)</f>
        <v>30</v>
      </c>
      <c r="I444" s="9" t="n">
        <f aca="false">IFERROR(__xludf.dummyfunction("""COMPUTED_VALUE"""),126000)</f>
        <v>126000</v>
      </c>
      <c r="J444" s="9" t="n">
        <f aca="false">IFERROR(__xludf.dummyfunction("""COMPUTED_VALUE"""),317)</f>
        <v>317</v>
      </c>
      <c r="K444" s="9"/>
      <c r="L444" s="9" t="n">
        <f aca="false">IFERROR(__xludf.dummyfunction("""COMPUTED_VALUE"""),0)</f>
        <v>0</v>
      </c>
      <c r="M444" s="9"/>
    </row>
    <row r="445" customFormat="false" ht="15.75" hidden="false" customHeight="false" outlineLevel="0" collapsed="false">
      <c r="A445" s="2" t="str">
        <f aca="false">IFERROR(__xludf.dummyfunction("""COMPUTED_VALUE"""),"SHKJ/KAN/1264")</f>
        <v>SHKJ/KAN/1264</v>
      </c>
      <c r="B445" s="2" t="str">
        <f aca="false">IFERROR(__xludf.dummyfunction("""COMPUTED_VALUE"""),"Pabbe Jaipal")</f>
        <v>Pabbe Jaipal</v>
      </c>
      <c r="C445" s="2" t="str">
        <f aca="false">IFERROR(__xludf.dummyfunction("""COMPUTED_VALUE"""),"Men &amp; Machines")</f>
        <v>Men &amp; Machines</v>
      </c>
      <c r="D445" s="2" t="str">
        <f aca="false">IFERROR(__xludf.dummyfunction("""COMPUTED_VALUE"""),"Kanha")</f>
        <v>Kanha</v>
      </c>
      <c r="E445" s="16" t="n">
        <f aca="false">IFERROR(__xludf.dummyfunction("""COMPUTED_VALUE"""),43734)</f>
        <v>43734</v>
      </c>
      <c r="F445" s="9" t="n">
        <f aca="false">IFERROR(__xludf.dummyfunction("""COMPUTED_VALUE"""),12000)</f>
        <v>12000</v>
      </c>
      <c r="G445" s="2" t="n">
        <f aca="false">IFERROR(__xludf.dummyfunction("""COMPUTED_VALUE"""),30)</f>
        <v>30</v>
      </c>
      <c r="H445" s="2" t="n">
        <f aca="false">IFERROR(__xludf.dummyfunction("""COMPUTED_VALUE"""),30)</f>
        <v>30</v>
      </c>
      <c r="I445" s="9" t="n">
        <f aca="false">IFERROR(__xludf.dummyfunction("""COMPUTED_VALUE"""),144000)</f>
        <v>144000</v>
      </c>
      <c r="J445" s="9" t="n">
        <f aca="false">IFERROR(__xludf.dummyfunction("""COMPUTED_VALUE"""),63)</f>
        <v>63</v>
      </c>
      <c r="K445" s="9"/>
      <c r="L445" s="9" t="n">
        <f aca="false">IFERROR(__xludf.dummyfunction("""COMPUTED_VALUE"""),0)</f>
        <v>0</v>
      </c>
      <c r="M445" s="9"/>
    </row>
    <row r="446" customFormat="false" ht="15.75" hidden="false" customHeight="false" outlineLevel="0" collapsed="false">
      <c r="A446" s="2" t="str">
        <f aca="false">IFERROR(__xludf.dummyfunction("""COMPUTED_VALUE"""),"SHKJ/KAN/1265")</f>
        <v>SHKJ/KAN/1265</v>
      </c>
      <c r="B446" s="2" t="str">
        <f aca="false">IFERROR(__xludf.dummyfunction("""COMPUTED_VALUE"""),"Jalagudam Lingam")</f>
        <v>Jalagudam Lingam</v>
      </c>
      <c r="C446" s="2" t="str">
        <f aca="false">IFERROR(__xludf.dummyfunction("""COMPUTED_VALUE"""),"Men &amp; Machines")</f>
        <v>Men &amp; Machines</v>
      </c>
      <c r="D446" s="2" t="str">
        <f aca="false">IFERROR(__xludf.dummyfunction("""COMPUTED_VALUE"""),"Kanha")</f>
        <v>Kanha</v>
      </c>
      <c r="E446" s="16" t="n">
        <f aca="false">IFERROR(__xludf.dummyfunction("""COMPUTED_VALUE"""),43734)</f>
        <v>43734</v>
      </c>
      <c r="F446" s="9" t="n">
        <f aca="false">IFERROR(__xludf.dummyfunction("""COMPUTED_VALUE"""),10500)</f>
        <v>10500</v>
      </c>
      <c r="G446" s="2" t="n">
        <f aca="false">IFERROR(__xludf.dummyfunction("""COMPUTED_VALUE"""),30)</f>
        <v>30</v>
      </c>
      <c r="H446" s="2" t="n">
        <f aca="false">IFERROR(__xludf.dummyfunction("""COMPUTED_VALUE"""),30)</f>
        <v>30</v>
      </c>
      <c r="I446" s="9" t="n">
        <f aca="false">IFERROR(__xludf.dummyfunction("""COMPUTED_VALUE"""),126000)</f>
        <v>126000</v>
      </c>
      <c r="J446" s="9" t="n">
        <f aca="false">IFERROR(__xludf.dummyfunction("""COMPUTED_VALUE"""),389)</f>
        <v>389</v>
      </c>
      <c r="K446" s="9"/>
      <c r="L446" s="9" t="n">
        <f aca="false">IFERROR(__xludf.dummyfunction("""COMPUTED_VALUE"""),0)</f>
        <v>0</v>
      </c>
      <c r="M446" s="9"/>
    </row>
    <row r="447" customFormat="false" ht="15.75" hidden="false" customHeight="false" outlineLevel="0" collapsed="false">
      <c r="A447" s="2" t="str">
        <f aca="false">IFERROR(__xludf.dummyfunction("""COMPUTED_VALUE"""),"SHKJ/KAN/1266")</f>
        <v>SHKJ/KAN/1266</v>
      </c>
      <c r="B447" s="2" t="str">
        <f aca="false">IFERROR(__xludf.dummyfunction("""COMPUTED_VALUE"""),"Narayan Deuba Maghade")</f>
        <v>Narayan Deuba Maghade</v>
      </c>
      <c r="C447" s="2" t="str">
        <f aca="false">IFERROR(__xludf.dummyfunction("""COMPUTED_VALUE"""),"Men &amp; Machines")</f>
        <v>Men &amp; Machines</v>
      </c>
      <c r="D447" s="2" t="str">
        <f aca="false">IFERROR(__xludf.dummyfunction("""COMPUTED_VALUE"""),"Kanha")</f>
        <v>Kanha</v>
      </c>
      <c r="E447" s="16" t="n">
        <f aca="false">IFERROR(__xludf.dummyfunction("""COMPUTED_VALUE"""),43734)</f>
        <v>43734</v>
      </c>
      <c r="F447" s="9" t="n">
        <f aca="false">IFERROR(__xludf.dummyfunction("""COMPUTED_VALUE"""),17500)</f>
        <v>17500</v>
      </c>
      <c r="G447" s="2" t="n">
        <f aca="false">IFERROR(__xludf.dummyfunction("""COMPUTED_VALUE"""),30)</f>
        <v>30</v>
      </c>
      <c r="H447" s="2" t="n">
        <f aca="false">IFERROR(__xludf.dummyfunction("""COMPUTED_VALUE"""),30)</f>
        <v>30</v>
      </c>
      <c r="I447" s="9" t="n">
        <f aca="false">IFERROR(__xludf.dummyfunction("""COMPUTED_VALUE"""),210000)</f>
        <v>210000</v>
      </c>
      <c r="J447" s="9" t="n">
        <f aca="false">IFERROR(__xludf.dummyfunction("""COMPUTED_VALUE"""),126)</f>
        <v>126</v>
      </c>
      <c r="K447" s="9"/>
      <c r="L447" s="9" t="n">
        <f aca="false">IFERROR(__xludf.dummyfunction("""COMPUTED_VALUE"""),0)</f>
        <v>0</v>
      </c>
      <c r="M447" s="9"/>
    </row>
    <row r="448" customFormat="false" ht="15.75" hidden="false" customHeight="false" outlineLevel="0" collapsed="false">
      <c r="A448" s="2" t="str">
        <f aca="false">IFERROR(__xludf.dummyfunction("""COMPUTED_VALUE"""),"SMSF/KAN/0674")</f>
        <v>SMSF/KAN/0674</v>
      </c>
      <c r="B448" s="2" t="str">
        <f aca="false">IFERROR(__xludf.dummyfunction("""COMPUTED_VALUE"""),"T Hamshetti Saritha")</f>
        <v>T Hamshetti Saritha</v>
      </c>
      <c r="C448" s="2" t="str">
        <f aca="false">IFERROR(__xludf.dummyfunction("""COMPUTED_VALUE"""),"Contact Center")</f>
        <v>Contact Center</v>
      </c>
      <c r="D448" s="2" t="str">
        <f aca="false">IFERROR(__xludf.dummyfunction("""COMPUTED_VALUE"""),"Kanha")</f>
        <v>Kanha</v>
      </c>
      <c r="E448" s="16" t="n">
        <f aca="false">IFERROR(__xludf.dummyfunction("""COMPUTED_VALUE"""),43185)</f>
        <v>43185</v>
      </c>
      <c r="F448" s="9" t="n">
        <f aca="false">IFERROR(__xludf.dummyfunction("""COMPUTED_VALUE"""),12000)</f>
        <v>12000</v>
      </c>
      <c r="G448" s="2" t="n">
        <f aca="false">IFERROR(__xludf.dummyfunction("""COMPUTED_VALUE"""),30)</f>
        <v>30</v>
      </c>
      <c r="H448" s="2" t="n">
        <f aca="false">IFERROR(__xludf.dummyfunction("""COMPUTED_VALUE"""),30)</f>
        <v>30</v>
      </c>
      <c r="I448" s="9" t="n">
        <f aca="false">IFERROR(__xludf.dummyfunction("""COMPUTED_VALUE"""),144000)</f>
        <v>144000</v>
      </c>
      <c r="J448" s="9" t="n">
        <f aca="false">IFERROR(__xludf.dummyfunction("""COMPUTED_VALUE"""),63)</f>
        <v>63</v>
      </c>
      <c r="K448" s="9"/>
      <c r="L448" s="9" t="n">
        <f aca="false">IFERROR(__xludf.dummyfunction("""COMPUTED_VALUE"""),0)</f>
        <v>0</v>
      </c>
      <c r="M448" s="9"/>
    </row>
    <row r="449" customFormat="false" ht="15.75" hidden="false" customHeight="false" outlineLevel="0" collapsed="false">
      <c r="A449" s="2" t="str">
        <f aca="false">IFERROR(__xludf.dummyfunction("""COMPUTED_VALUE"""),"SMSF/KAN/0571")</f>
        <v>SMSF/KAN/0571</v>
      </c>
      <c r="B449" s="2" t="str">
        <f aca="false">IFERROR(__xludf.dummyfunction("""COMPUTED_VALUE"""),"SATHYAN")</f>
        <v>SATHYAN</v>
      </c>
      <c r="C449" s="2" t="str">
        <f aca="false">IFERROR(__xludf.dummyfunction("""COMPUTED_VALUE"""),"Plumbing")</f>
        <v>Plumbing</v>
      </c>
      <c r="D449" s="2" t="str">
        <f aca="false">IFERROR(__xludf.dummyfunction("""COMPUTED_VALUE"""),"Kanha")</f>
        <v>Kanha</v>
      </c>
      <c r="E449" s="16" t="n">
        <f aca="false">IFERROR(__xludf.dummyfunction("""COMPUTED_VALUE"""),42012)</f>
        <v>42012</v>
      </c>
      <c r="F449" s="9" t="n">
        <f aca="false">IFERROR(__xludf.dummyfunction("""COMPUTED_VALUE"""),37088)</f>
        <v>37088</v>
      </c>
      <c r="G449" s="2" t="n">
        <f aca="false">IFERROR(__xludf.dummyfunction("""COMPUTED_VALUE"""),30)</f>
        <v>30</v>
      </c>
      <c r="H449" s="2" t="n">
        <f aca="false">IFERROR(__xludf.dummyfunction("""COMPUTED_VALUE"""),30)</f>
        <v>30</v>
      </c>
      <c r="I449" s="9" t="n">
        <f aca="false">IFERROR(__xludf.dummyfunction("""COMPUTED_VALUE"""),445056)</f>
        <v>445056</v>
      </c>
      <c r="J449" s="9" t="n">
        <f aca="false">IFERROR(__xludf.dummyfunction("""COMPUTED_VALUE"""),254)</f>
        <v>254</v>
      </c>
      <c r="K449" s="9"/>
      <c r="L449" s="9" t="n">
        <f aca="false">IFERROR(__xludf.dummyfunction("""COMPUTED_VALUE"""),0)</f>
        <v>0</v>
      </c>
      <c r="M449" s="9"/>
    </row>
    <row r="450" customFormat="false" ht="15.75" hidden="false" customHeight="false" outlineLevel="0" collapsed="false">
      <c r="A450" s="2" t="str">
        <f aca="false">IFERROR(__xludf.dummyfunction("""COMPUTED_VALUE"""),"SMSF/KAN/0195")</f>
        <v>SMSF/KAN/0195</v>
      </c>
      <c r="B450" s="2" t="str">
        <f aca="false">IFERROR(__xludf.dummyfunction("""COMPUTED_VALUE"""),"VODDE SRIKANTH")</f>
        <v>VODDE SRIKANTH</v>
      </c>
      <c r="C450" s="2" t="str">
        <f aca="false">IFERROR(__xludf.dummyfunction("""COMPUTED_VALUE"""),"Plumbing")</f>
        <v>Plumbing</v>
      </c>
      <c r="D450" s="2" t="str">
        <f aca="false">IFERROR(__xludf.dummyfunction("""COMPUTED_VALUE"""),"Kanha")</f>
        <v>Kanha</v>
      </c>
      <c r="E450" s="16" t="n">
        <f aca="false">IFERROR(__xludf.dummyfunction("""COMPUTED_VALUE"""),42370)</f>
        <v>42370</v>
      </c>
      <c r="F450" s="9" t="n">
        <f aca="false">IFERROR(__xludf.dummyfunction("""COMPUTED_VALUE"""),19800)</f>
        <v>19800</v>
      </c>
      <c r="G450" s="2" t="n">
        <f aca="false">IFERROR(__xludf.dummyfunction("""COMPUTED_VALUE"""),30)</f>
        <v>30</v>
      </c>
      <c r="H450" s="2" t="n">
        <f aca="false">IFERROR(__xludf.dummyfunction("""COMPUTED_VALUE"""),30)</f>
        <v>30</v>
      </c>
      <c r="I450" s="9" t="n">
        <f aca="false">IFERROR(__xludf.dummyfunction("""COMPUTED_VALUE"""),237600)</f>
        <v>237600</v>
      </c>
      <c r="J450" s="9" t="n">
        <f aca="false">IFERROR(__xludf.dummyfunction("""COMPUTED_VALUE"""),317)</f>
        <v>317</v>
      </c>
      <c r="K450" s="9"/>
      <c r="L450" s="9" t="n">
        <f aca="false">IFERROR(__xludf.dummyfunction("""COMPUTED_VALUE"""),0)</f>
        <v>0</v>
      </c>
      <c r="M450" s="9"/>
    </row>
    <row r="451" customFormat="false" ht="15.75" hidden="false" customHeight="false" outlineLevel="0" collapsed="false">
      <c r="A451" s="2" t="str">
        <f aca="false">IFERROR(__xludf.dummyfunction("""COMPUTED_VALUE"""),"SMSF/KAN/0192")</f>
        <v>SMSF/KAN/0192</v>
      </c>
      <c r="B451" s="2" t="str">
        <f aca="false">IFERROR(__xludf.dummyfunction("""COMPUTED_VALUE"""),"AJAY KUMAR BHARDWAJ")</f>
        <v>AJAY KUMAR BHARDWAJ</v>
      </c>
      <c r="C451" s="2" t="str">
        <f aca="false">IFERROR(__xludf.dummyfunction("""COMPUTED_VALUE"""),"Plumbing")</f>
        <v>Plumbing</v>
      </c>
      <c r="D451" s="2" t="str">
        <f aca="false">IFERROR(__xludf.dummyfunction("""COMPUTED_VALUE"""),"Kanha")</f>
        <v>Kanha</v>
      </c>
      <c r="E451" s="16" t="n">
        <f aca="false">IFERROR(__xludf.dummyfunction("""COMPUTED_VALUE"""),42374)</f>
        <v>42374</v>
      </c>
      <c r="F451" s="9" t="n">
        <f aca="false">IFERROR(__xludf.dummyfunction("""COMPUTED_VALUE"""),15000)</f>
        <v>15000</v>
      </c>
      <c r="G451" s="2" t="n">
        <f aca="false">IFERROR(__xludf.dummyfunction("""COMPUTED_VALUE"""),30)</f>
        <v>30</v>
      </c>
      <c r="H451" s="2" t="n">
        <f aca="false">IFERROR(__xludf.dummyfunction("""COMPUTED_VALUE"""),30)</f>
        <v>30</v>
      </c>
      <c r="I451" s="9" t="n">
        <f aca="false">IFERROR(__xludf.dummyfunction("""COMPUTED_VALUE"""),180000)</f>
        <v>180000</v>
      </c>
      <c r="J451" s="9" t="n">
        <f aca="false">IFERROR(__xludf.dummyfunction("""COMPUTED_VALUE"""),63)</f>
        <v>63</v>
      </c>
      <c r="K451" s="9"/>
      <c r="L451" s="9" t="n">
        <f aca="false">IFERROR(__xludf.dummyfunction("""COMPUTED_VALUE"""),0)</f>
        <v>0</v>
      </c>
      <c r="M451" s="9"/>
    </row>
    <row r="452" customFormat="false" ht="15.75" hidden="false" customHeight="false" outlineLevel="0" collapsed="false">
      <c r="A452" s="2" t="str">
        <f aca="false">IFERROR(__xludf.dummyfunction("""COMPUTED_VALUE"""),"SMSF/KAN/0188")</f>
        <v>SMSF/KAN/0188</v>
      </c>
      <c r="B452" s="2" t="str">
        <f aca="false">IFERROR(__xludf.dummyfunction("""COMPUTED_VALUE"""),"RANJITH KUMAR GAUTHAM")</f>
        <v>RANJITH KUMAR GAUTHAM</v>
      </c>
      <c r="C452" s="2" t="str">
        <f aca="false">IFERROR(__xludf.dummyfunction("""COMPUTED_VALUE"""),"Plumbing")</f>
        <v>Plumbing</v>
      </c>
      <c r="D452" s="2" t="str">
        <f aca="false">IFERROR(__xludf.dummyfunction("""COMPUTED_VALUE"""),"Kanha")</f>
        <v>Kanha</v>
      </c>
      <c r="E452" s="16" t="n">
        <f aca="false">IFERROR(__xludf.dummyfunction("""COMPUTED_VALUE"""),42372)</f>
        <v>42372</v>
      </c>
      <c r="F452" s="9" t="n">
        <f aca="false">IFERROR(__xludf.dummyfunction("""COMPUTED_VALUE"""),18000)</f>
        <v>18000</v>
      </c>
      <c r="G452" s="2" t="n">
        <f aca="false">IFERROR(__xludf.dummyfunction("""COMPUTED_VALUE"""),30)</f>
        <v>30</v>
      </c>
      <c r="H452" s="2" t="n">
        <f aca="false">IFERROR(__xludf.dummyfunction("""COMPUTED_VALUE"""),30)</f>
        <v>30</v>
      </c>
      <c r="I452" s="9" t="n">
        <f aca="false">IFERROR(__xludf.dummyfunction("""COMPUTED_VALUE"""),216000)</f>
        <v>216000</v>
      </c>
      <c r="J452" s="9" t="n">
        <f aca="false">IFERROR(__xludf.dummyfunction("""COMPUTED_VALUE"""),63)</f>
        <v>63</v>
      </c>
      <c r="K452" s="9"/>
      <c r="L452" s="9" t="n">
        <f aca="false">IFERROR(__xludf.dummyfunction("""COMPUTED_VALUE"""),0)</f>
        <v>0</v>
      </c>
      <c r="M452" s="9"/>
    </row>
    <row r="453" customFormat="false" ht="15.75" hidden="false" customHeight="false" outlineLevel="0" collapsed="false">
      <c r="A453" s="2" t="str">
        <f aca="false">IFERROR(__xludf.dummyfunction("""COMPUTED_VALUE"""),"SMSF/KAN/0190")</f>
        <v>SMSF/KAN/0190</v>
      </c>
      <c r="B453" s="2" t="str">
        <f aca="false">IFERROR(__xludf.dummyfunction("""COMPUTED_VALUE"""),"MALLAPURAM SRIKANTH")</f>
        <v>MALLAPURAM SRIKANTH</v>
      </c>
      <c r="C453" s="2" t="str">
        <f aca="false">IFERROR(__xludf.dummyfunction("""COMPUTED_VALUE"""),"Plumbing")</f>
        <v>Plumbing</v>
      </c>
      <c r="D453" s="2" t="str">
        <f aca="false">IFERROR(__xludf.dummyfunction("""COMPUTED_VALUE"""),"Kanha")</f>
        <v>Kanha</v>
      </c>
      <c r="E453" s="16" t="n">
        <f aca="false">IFERROR(__xludf.dummyfunction("""COMPUTED_VALUE"""),42376)</f>
        <v>42376</v>
      </c>
      <c r="F453" s="9" t="n">
        <f aca="false">IFERROR(__xludf.dummyfunction("""COMPUTED_VALUE"""),11550)</f>
        <v>11550</v>
      </c>
      <c r="G453" s="2" t="n">
        <f aca="false">IFERROR(__xludf.dummyfunction("""COMPUTED_VALUE"""),30)</f>
        <v>30</v>
      </c>
      <c r="H453" s="2" t="n">
        <f aca="false">IFERROR(__xludf.dummyfunction("""COMPUTED_VALUE"""),30)</f>
        <v>30</v>
      </c>
      <c r="I453" s="9" t="n">
        <f aca="false">IFERROR(__xludf.dummyfunction("""COMPUTED_VALUE"""),138600)</f>
        <v>138600</v>
      </c>
      <c r="J453" s="9" t="n">
        <f aca="false">IFERROR(__xludf.dummyfunction("""COMPUTED_VALUE"""),63)</f>
        <v>63</v>
      </c>
      <c r="K453" s="9"/>
      <c r="L453" s="9" t="n">
        <f aca="false">IFERROR(__xludf.dummyfunction("""COMPUTED_VALUE"""),0)</f>
        <v>0</v>
      </c>
      <c r="M453" s="9"/>
    </row>
    <row r="454" customFormat="false" ht="15.75" hidden="false" customHeight="false" outlineLevel="0" collapsed="false">
      <c r="A454" s="2" t="str">
        <f aca="false">IFERROR(__xludf.dummyfunction("""COMPUTED_VALUE"""),"SMSF/KAN/0189")</f>
        <v>SMSF/KAN/0189</v>
      </c>
      <c r="B454" s="2" t="str">
        <f aca="false">IFERROR(__xludf.dummyfunction("""COMPUTED_VALUE"""),"KONGARI BAL RAJ")</f>
        <v>KONGARI BAL RAJ</v>
      </c>
      <c r="C454" s="2" t="str">
        <f aca="false">IFERROR(__xludf.dummyfunction("""COMPUTED_VALUE"""),"Plumbing")</f>
        <v>Plumbing</v>
      </c>
      <c r="D454" s="2" t="str">
        <f aca="false">IFERROR(__xludf.dummyfunction("""COMPUTED_VALUE"""),"Kanha")</f>
        <v>Kanha</v>
      </c>
      <c r="E454" s="16" t="n">
        <f aca="false">IFERROR(__xludf.dummyfunction("""COMPUTED_VALUE"""),42376)</f>
        <v>42376</v>
      </c>
      <c r="F454" s="9" t="n">
        <f aca="false">IFERROR(__xludf.dummyfunction("""COMPUTED_VALUE"""),15000)</f>
        <v>15000</v>
      </c>
      <c r="G454" s="2" t="n">
        <f aca="false">IFERROR(__xludf.dummyfunction("""COMPUTED_VALUE"""),30)</f>
        <v>30</v>
      </c>
      <c r="H454" s="2" t="n">
        <f aca="false">IFERROR(__xludf.dummyfunction("""COMPUTED_VALUE"""),30)</f>
        <v>30</v>
      </c>
      <c r="I454" s="9" t="n">
        <f aca="false">IFERROR(__xludf.dummyfunction("""COMPUTED_VALUE"""),180000)</f>
        <v>180000</v>
      </c>
      <c r="J454" s="9" t="n">
        <f aca="false">IFERROR(__xludf.dummyfunction("""COMPUTED_VALUE"""),317)</f>
        <v>317</v>
      </c>
      <c r="K454" s="9"/>
      <c r="L454" s="9" t="n">
        <f aca="false">IFERROR(__xludf.dummyfunction("""COMPUTED_VALUE"""),0)</f>
        <v>0</v>
      </c>
      <c r="M454" s="9"/>
    </row>
    <row r="455" customFormat="false" ht="15.75" hidden="false" customHeight="false" outlineLevel="0" collapsed="false">
      <c r="A455" s="2" t="str">
        <f aca="false">IFERROR(__xludf.dummyfunction("""COMPUTED_VALUE"""),"SMSF/KAN/0146")</f>
        <v>SMSF/KAN/0146</v>
      </c>
      <c r="B455" s="2" t="str">
        <f aca="false">IFERROR(__xludf.dummyfunction("""COMPUTED_VALUE"""),"POTHUGANTI PANDURAIAH")</f>
        <v>POTHUGANTI PANDURAIAH</v>
      </c>
      <c r="C455" s="2" t="str">
        <f aca="false">IFERROR(__xludf.dummyfunction("""COMPUTED_VALUE"""),"Plumbing")</f>
        <v>Plumbing</v>
      </c>
      <c r="D455" s="2" t="str">
        <f aca="false">IFERROR(__xludf.dummyfunction("""COMPUTED_VALUE"""),"Kanha")</f>
        <v>Kanha</v>
      </c>
      <c r="E455" s="16" t="n">
        <f aca="false">IFERROR(__xludf.dummyfunction("""COMPUTED_VALUE"""),42826)</f>
        <v>42826</v>
      </c>
      <c r="F455" s="9" t="n">
        <f aca="false">IFERROR(__xludf.dummyfunction("""COMPUTED_VALUE"""),11500)</f>
        <v>11500</v>
      </c>
      <c r="G455" s="2" t="n">
        <f aca="false">IFERROR(__xludf.dummyfunction("""COMPUTED_VALUE"""),30)</f>
        <v>30</v>
      </c>
      <c r="H455" s="2" t="n">
        <f aca="false">IFERROR(__xludf.dummyfunction("""COMPUTED_VALUE"""),30)</f>
        <v>30</v>
      </c>
      <c r="I455" s="9" t="n">
        <f aca="false">IFERROR(__xludf.dummyfunction("""COMPUTED_VALUE"""),138000)</f>
        <v>138000</v>
      </c>
      <c r="J455" s="9" t="n">
        <f aca="false">IFERROR(__xludf.dummyfunction("""COMPUTED_VALUE"""),167)</f>
        <v>167</v>
      </c>
      <c r="K455" s="9"/>
      <c r="L455" s="9" t="n">
        <f aca="false">IFERROR(__xludf.dummyfunction("""COMPUTED_VALUE"""),0)</f>
        <v>0</v>
      </c>
      <c r="M455" s="9"/>
    </row>
    <row r="456" customFormat="false" ht="15.75" hidden="false" customHeight="false" outlineLevel="0" collapsed="false">
      <c r="A456" s="2" t="str">
        <f aca="false">IFERROR(__xludf.dummyfunction("""COMPUTED_VALUE"""),"SMSF/KAN/0138")</f>
        <v>SMSF/KAN/0138</v>
      </c>
      <c r="B456" s="2" t="str">
        <f aca="false">IFERROR(__xludf.dummyfunction("""COMPUTED_VALUE"""),"MADHAVI SAMBU")</f>
        <v>MADHAVI SAMBU</v>
      </c>
      <c r="C456" s="2" t="str">
        <f aca="false">IFERROR(__xludf.dummyfunction("""COMPUTED_VALUE"""),"Plumbing")</f>
        <v>Plumbing</v>
      </c>
      <c r="D456" s="2" t="str">
        <f aca="false">IFERROR(__xludf.dummyfunction("""COMPUTED_VALUE"""),"Kanha")</f>
        <v>Kanha</v>
      </c>
      <c r="E456" s="16" t="n">
        <f aca="false">IFERROR(__xludf.dummyfunction("""COMPUTED_VALUE"""),42624)</f>
        <v>42624</v>
      </c>
      <c r="F456" s="9" t="n">
        <f aca="false">IFERROR(__xludf.dummyfunction("""COMPUTED_VALUE"""),15000)</f>
        <v>15000</v>
      </c>
      <c r="G456" s="2" t="n">
        <f aca="false">IFERROR(__xludf.dummyfunction("""COMPUTED_VALUE"""),30)</f>
        <v>30</v>
      </c>
      <c r="H456" s="2" t="n">
        <f aca="false">IFERROR(__xludf.dummyfunction("""COMPUTED_VALUE"""),30)</f>
        <v>30</v>
      </c>
      <c r="I456" s="9" t="n">
        <f aca="false">IFERROR(__xludf.dummyfunction("""COMPUTED_VALUE"""),180000)</f>
        <v>180000</v>
      </c>
      <c r="J456" s="9" t="n">
        <f aca="false">IFERROR(__xludf.dummyfunction("""COMPUTED_VALUE"""),63)</f>
        <v>63</v>
      </c>
      <c r="K456" s="9"/>
      <c r="L456" s="9" t="n">
        <f aca="false">IFERROR(__xludf.dummyfunction("""COMPUTED_VALUE"""),0)</f>
        <v>0</v>
      </c>
      <c r="M456" s="9"/>
    </row>
    <row r="457" customFormat="false" ht="15.75" hidden="false" customHeight="false" outlineLevel="0" collapsed="false">
      <c r="A457" s="2" t="str">
        <f aca="false">IFERROR(__xludf.dummyfunction("""COMPUTED_VALUE"""),"SMSF/KAN/0581")</f>
        <v>SMSF/KAN/0581</v>
      </c>
      <c r="B457" s="2" t="str">
        <f aca="false">IFERROR(__xludf.dummyfunction("""COMPUTED_VALUE"""),"JOYDIP DAS")</f>
        <v>JOYDIP DAS</v>
      </c>
      <c r="C457" s="2" t="str">
        <f aca="false">IFERROR(__xludf.dummyfunction("""COMPUTED_VALUE"""),"Plumbing")</f>
        <v>Plumbing</v>
      </c>
      <c r="D457" s="2" t="str">
        <f aca="false">IFERROR(__xludf.dummyfunction("""COMPUTED_VALUE"""),"Kanha")</f>
        <v>Kanha</v>
      </c>
      <c r="E457" s="16" t="n">
        <f aca="false">IFERROR(__xludf.dummyfunction("""COMPUTED_VALUE"""),42881)</f>
        <v>42881</v>
      </c>
      <c r="F457" s="9" t="n">
        <f aca="false">IFERROR(__xludf.dummyfunction("""COMPUTED_VALUE"""),12000)</f>
        <v>12000</v>
      </c>
      <c r="G457" s="2" t="n">
        <f aca="false">IFERROR(__xludf.dummyfunction("""COMPUTED_VALUE"""),30)</f>
        <v>30</v>
      </c>
      <c r="H457" s="2" t="n">
        <f aca="false">IFERROR(__xludf.dummyfunction("""COMPUTED_VALUE"""),30)</f>
        <v>30</v>
      </c>
      <c r="I457" s="9" t="n">
        <f aca="false">IFERROR(__xludf.dummyfunction("""COMPUTED_VALUE"""),144000)</f>
        <v>144000</v>
      </c>
      <c r="J457" s="9" t="n">
        <f aca="false">IFERROR(__xludf.dummyfunction("""COMPUTED_VALUE"""),95)</f>
        <v>95</v>
      </c>
      <c r="K457" s="9"/>
      <c r="L457" s="9" t="n">
        <f aca="false">IFERROR(__xludf.dummyfunction("""COMPUTED_VALUE"""),0)</f>
        <v>0</v>
      </c>
      <c r="M457" s="9"/>
    </row>
    <row r="458" customFormat="false" ht="15.75" hidden="false" customHeight="false" outlineLevel="0" collapsed="false">
      <c r="A458" s="2" t="str">
        <f aca="false">IFERROR(__xludf.dummyfunction("""COMPUTED_VALUE"""),"SMSF/KAN/0588")</f>
        <v>SMSF/KAN/0588</v>
      </c>
      <c r="B458" s="2" t="str">
        <f aca="false">IFERROR(__xludf.dummyfunction("""COMPUTED_VALUE"""),"BURRA RAVINDER")</f>
        <v>BURRA RAVINDER</v>
      </c>
      <c r="C458" s="2" t="str">
        <f aca="false">IFERROR(__xludf.dummyfunction("""COMPUTED_VALUE"""),"Plumbing")</f>
        <v>Plumbing</v>
      </c>
      <c r="D458" s="2" t="str">
        <f aca="false">IFERROR(__xludf.dummyfunction("""COMPUTED_VALUE"""),"Kanha")</f>
        <v>Kanha</v>
      </c>
      <c r="E458" s="16" t="n">
        <f aca="false">IFERROR(__xludf.dummyfunction("""COMPUTED_VALUE"""),42881)</f>
        <v>42881</v>
      </c>
      <c r="F458" s="9" t="n">
        <f aca="false">IFERROR(__xludf.dummyfunction("""COMPUTED_VALUE"""),14000)</f>
        <v>14000</v>
      </c>
      <c r="G458" s="2" t="n">
        <f aca="false">IFERROR(__xludf.dummyfunction("""COMPUTED_VALUE"""),30)</f>
        <v>30</v>
      </c>
      <c r="H458" s="2" t="n">
        <f aca="false">IFERROR(__xludf.dummyfunction("""COMPUTED_VALUE"""),30)</f>
        <v>30</v>
      </c>
      <c r="I458" s="9" t="n">
        <f aca="false">IFERROR(__xludf.dummyfunction("""COMPUTED_VALUE"""),168000)</f>
        <v>168000</v>
      </c>
      <c r="J458" s="9" t="n">
        <f aca="false">IFERROR(__xludf.dummyfunction("""COMPUTED_VALUE"""),254)</f>
        <v>254</v>
      </c>
      <c r="K458" s="9"/>
      <c r="L458" s="9" t="n">
        <f aca="false">IFERROR(__xludf.dummyfunction("""COMPUTED_VALUE"""),0)</f>
        <v>0</v>
      </c>
      <c r="M458" s="9"/>
    </row>
    <row r="459" customFormat="false" ht="15.75" hidden="false" customHeight="false" outlineLevel="0" collapsed="false">
      <c r="A459" s="2" t="str">
        <f aca="false">IFERROR(__xludf.dummyfunction("""COMPUTED_VALUE"""),"SMSF/KAN/1004")</f>
        <v>SMSF/KAN/1004</v>
      </c>
      <c r="B459" s="2" t="str">
        <f aca="false">IFERROR(__xludf.dummyfunction("""COMPUTED_VALUE"""),"Bhashaveni Anil")</f>
        <v>Bhashaveni Anil</v>
      </c>
      <c r="C459" s="2" t="str">
        <f aca="false">IFERROR(__xludf.dummyfunction("""COMPUTED_VALUE"""),"Plumbing")</f>
        <v>Plumbing</v>
      </c>
      <c r="D459" s="2" t="str">
        <f aca="false">IFERROR(__xludf.dummyfunction("""COMPUTED_VALUE"""),"Kanha")</f>
        <v>Kanha</v>
      </c>
      <c r="E459" s="16" t="n">
        <f aca="false">IFERROR(__xludf.dummyfunction("""COMPUTED_VALUE"""),43491)</f>
        <v>43491</v>
      </c>
      <c r="F459" s="9" t="n">
        <f aca="false">IFERROR(__xludf.dummyfunction("""COMPUTED_VALUE"""),12000)</f>
        <v>12000</v>
      </c>
      <c r="G459" s="2" t="n">
        <f aca="false">IFERROR(__xludf.dummyfunction("""COMPUTED_VALUE"""),30)</f>
        <v>30</v>
      </c>
      <c r="H459" s="2" t="n">
        <f aca="false">IFERROR(__xludf.dummyfunction("""COMPUTED_VALUE"""),30)</f>
        <v>30</v>
      </c>
      <c r="I459" s="9" t="n">
        <f aca="false">IFERROR(__xludf.dummyfunction("""COMPUTED_VALUE"""),144000)</f>
        <v>144000</v>
      </c>
      <c r="J459" s="9" t="n">
        <f aca="false">IFERROR(__xludf.dummyfunction("""COMPUTED_VALUE"""),63)</f>
        <v>63</v>
      </c>
      <c r="K459" s="9"/>
      <c r="L459" s="9" t="n">
        <f aca="false">IFERROR(__xludf.dummyfunction("""COMPUTED_VALUE"""),0)</f>
        <v>0</v>
      </c>
      <c r="M459" s="9"/>
    </row>
    <row r="460" customFormat="false" ht="15.75" hidden="false" customHeight="false" outlineLevel="0" collapsed="false">
      <c r="A460" s="2" t="str">
        <f aca="false">IFERROR(__xludf.dummyfunction("""COMPUTED_VALUE"""),"SMSF/KAN/1080")</f>
        <v>SMSF/KAN/1080</v>
      </c>
      <c r="B460" s="2" t="str">
        <f aca="false">IFERROR(__xludf.dummyfunction("""COMPUTED_VALUE"""),"Nimesh")</f>
        <v>Nimesh</v>
      </c>
      <c r="C460" s="2" t="str">
        <f aca="false">IFERROR(__xludf.dummyfunction("""COMPUTED_VALUE"""),"Plumbing")</f>
        <v>Plumbing</v>
      </c>
      <c r="D460" s="2" t="str">
        <f aca="false">IFERROR(__xludf.dummyfunction("""COMPUTED_VALUE"""),"Kanha")</f>
        <v>Kanha</v>
      </c>
      <c r="E460" s="16" t="n">
        <f aca="false">IFERROR(__xludf.dummyfunction("""COMPUTED_VALUE"""),43510)</f>
        <v>43510</v>
      </c>
      <c r="F460" s="9" t="n">
        <f aca="false">IFERROR(__xludf.dummyfunction("""COMPUTED_VALUE"""),9000)</f>
        <v>9000</v>
      </c>
      <c r="G460" s="2" t="n">
        <f aca="false">IFERROR(__xludf.dummyfunction("""COMPUTED_VALUE"""),30)</f>
        <v>30</v>
      </c>
      <c r="H460" s="2" t="n">
        <f aca="false">IFERROR(__xludf.dummyfunction("""COMPUTED_VALUE"""),30)</f>
        <v>30</v>
      </c>
      <c r="I460" s="9" t="n">
        <f aca="false">IFERROR(__xludf.dummyfunction("""COMPUTED_VALUE"""),108000)</f>
        <v>108000</v>
      </c>
      <c r="J460" s="9" t="n">
        <f aca="false">IFERROR(__xludf.dummyfunction("""COMPUTED_VALUE"""),63)</f>
        <v>63</v>
      </c>
      <c r="K460" s="9"/>
      <c r="L460" s="9" t="n">
        <f aca="false">IFERROR(__xludf.dummyfunction("""COMPUTED_VALUE"""),0)</f>
        <v>0</v>
      </c>
      <c r="M460" s="9"/>
    </row>
    <row r="461" customFormat="false" ht="15.75" hidden="false" customHeight="false" outlineLevel="0" collapsed="false">
      <c r="A461" s="2" t="str">
        <f aca="false">IFERROR(__xludf.dummyfunction("""COMPUTED_VALUE"""),"SMSF/KAN/1011")</f>
        <v>SMSF/KAN/1011</v>
      </c>
      <c r="B461" s="2" t="str">
        <f aca="false">IFERROR(__xludf.dummyfunction("""COMPUTED_VALUE"""),"Mahesh Mani Ji")</f>
        <v>Mahesh Mani Ji</v>
      </c>
      <c r="C461" s="2" t="str">
        <f aca="false">IFERROR(__xludf.dummyfunction("""COMPUTED_VALUE"""),"Plumbing")</f>
        <v>Plumbing</v>
      </c>
      <c r="D461" s="2" t="str">
        <f aca="false">IFERROR(__xludf.dummyfunction("""COMPUTED_VALUE"""),"Kanha")</f>
        <v>Kanha</v>
      </c>
      <c r="E461" s="16" t="n">
        <f aca="false">IFERROR(__xludf.dummyfunction("""COMPUTED_VALUE"""),43491)</f>
        <v>43491</v>
      </c>
      <c r="F461" s="9" t="n">
        <f aca="false">IFERROR(__xludf.dummyfunction("""COMPUTED_VALUE"""),9000)</f>
        <v>9000</v>
      </c>
      <c r="G461" s="2" t="n">
        <f aca="false">IFERROR(__xludf.dummyfunction("""COMPUTED_VALUE"""),30)</f>
        <v>30</v>
      </c>
      <c r="H461" s="2" t="n">
        <f aca="false">IFERROR(__xludf.dummyfunction("""COMPUTED_VALUE"""),30)</f>
        <v>30</v>
      </c>
      <c r="I461" s="9" t="n">
        <f aca="false">IFERROR(__xludf.dummyfunction("""COMPUTED_VALUE"""),108000)</f>
        <v>108000</v>
      </c>
      <c r="J461" s="9" t="n">
        <f aca="false">IFERROR(__xludf.dummyfunction("""COMPUTED_VALUE"""),63)</f>
        <v>63</v>
      </c>
      <c r="K461" s="9"/>
      <c r="L461" s="9" t="n">
        <f aca="false">IFERROR(__xludf.dummyfunction("""COMPUTED_VALUE"""),0)</f>
        <v>0</v>
      </c>
      <c r="M461" s="9"/>
    </row>
    <row r="462" customFormat="false" ht="15.75" hidden="false" customHeight="false" outlineLevel="0" collapsed="false">
      <c r="A462" s="2" t="str">
        <f aca="false">IFERROR(__xludf.dummyfunction("""COMPUTED_VALUE"""),"SMSF/KAN/1081")</f>
        <v>SMSF/KAN/1081</v>
      </c>
      <c r="B462" s="2" t="str">
        <f aca="false">IFERROR(__xludf.dummyfunction("""COMPUTED_VALUE"""),"Manish")</f>
        <v>Manish</v>
      </c>
      <c r="C462" s="2" t="str">
        <f aca="false">IFERROR(__xludf.dummyfunction("""COMPUTED_VALUE"""),"Plumbing")</f>
        <v>Plumbing</v>
      </c>
      <c r="D462" s="2" t="str">
        <f aca="false">IFERROR(__xludf.dummyfunction("""COMPUTED_VALUE"""),"Kanha")</f>
        <v>Kanha</v>
      </c>
      <c r="E462" s="16" t="n">
        <f aca="false">IFERROR(__xludf.dummyfunction("""COMPUTED_VALUE"""),43467)</f>
        <v>43467</v>
      </c>
      <c r="F462" s="9" t="n">
        <f aca="false">IFERROR(__xludf.dummyfunction("""COMPUTED_VALUE"""),14000)</f>
        <v>14000</v>
      </c>
      <c r="G462" s="2" t="n">
        <f aca="false">IFERROR(__xludf.dummyfunction("""COMPUTED_VALUE"""),30)</f>
        <v>30</v>
      </c>
      <c r="H462" s="2" t="n">
        <f aca="false">IFERROR(__xludf.dummyfunction("""COMPUTED_VALUE"""),30)</f>
        <v>30</v>
      </c>
      <c r="I462" s="9" t="n">
        <f aca="false">IFERROR(__xludf.dummyfunction("""COMPUTED_VALUE"""),168000)</f>
        <v>168000</v>
      </c>
      <c r="J462" s="9" t="n">
        <f aca="false">IFERROR(__xludf.dummyfunction("""COMPUTED_VALUE"""),63)</f>
        <v>63</v>
      </c>
      <c r="K462" s="9"/>
      <c r="L462" s="9" t="n">
        <f aca="false">IFERROR(__xludf.dummyfunction("""COMPUTED_VALUE"""),0)</f>
        <v>0</v>
      </c>
      <c r="M462" s="9"/>
    </row>
    <row r="463" customFormat="false" ht="15.75" hidden="false" customHeight="false" outlineLevel="0" collapsed="false">
      <c r="A463" s="2" t="str">
        <f aca="false">IFERROR(__xludf.dummyfunction("""COMPUTED_VALUE"""),"SMSF/KAN/0185")</f>
        <v>SMSF/KAN/0185</v>
      </c>
      <c r="B463" s="2" t="str">
        <f aca="false">IFERROR(__xludf.dummyfunction("""COMPUTED_VALUE"""),"DATAGALLA NAVEEN")</f>
        <v>DATAGALLA NAVEEN</v>
      </c>
      <c r="C463" s="2" t="str">
        <f aca="false">IFERROR(__xludf.dummyfunction("""COMPUTED_VALUE"""),"Stores")</f>
        <v>Stores</v>
      </c>
      <c r="D463" s="2" t="str">
        <f aca="false">IFERROR(__xludf.dummyfunction("""COMPUTED_VALUE"""),"Kanha")</f>
        <v>Kanha</v>
      </c>
      <c r="E463" s="16" t="n">
        <f aca="false">IFERROR(__xludf.dummyfunction("""COMPUTED_VALUE"""),42401)</f>
        <v>42401</v>
      </c>
      <c r="F463" s="9" t="n">
        <f aca="false">IFERROR(__xludf.dummyfunction("""COMPUTED_VALUE"""),11288)</f>
        <v>11288</v>
      </c>
      <c r="G463" s="2" t="n">
        <f aca="false">IFERROR(__xludf.dummyfunction("""COMPUTED_VALUE"""),30)</f>
        <v>30</v>
      </c>
      <c r="H463" s="2" t="n">
        <f aca="false">IFERROR(__xludf.dummyfunction("""COMPUTED_VALUE"""),30)</f>
        <v>30</v>
      </c>
      <c r="I463" s="9" t="n">
        <f aca="false">IFERROR(__xludf.dummyfunction("""COMPUTED_VALUE"""),135456)</f>
        <v>135456</v>
      </c>
      <c r="J463" s="9" t="n">
        <f aca="false">IFERROR(__xludf.dummyfunction("""COMPUTED_VALUE"""),63)</f>
        <v>63</v>
      </c>
      <c r="K463" s="9"/>
      <c r="L463" s="9" t="n">
        <f aca="false">IFERROR(__xludf.dummyfunction("""COMPUTED_VALUE"""),0)</f>
        <v>0</v>
      </c>
      <c r="M463" s="9"/>
    </row>
    <row r="464" customFormat="false" ht="15.75" hidden="false" customHeight="false" outlineLevel="0" collapsed="false">
      <c r="A464" s="2" t="str">
        <f aca="false">IFERROR(__xludf.dummyfunction("""COMPUTED_VALUE"""),"SMSF/KAN/0180")</f>
        <v>SMSF/KAN/0180</v>
      </c>
      <c r="B464" s="2" t="str">
        <f aca="false">IFERROR(__xludf.dummyfunction("""COMPUTED_VALUE"""),"KONGARI SREENU")</f>
        <v>KONGARI SREENU</v>
      </c>
      <c r="C464" s="2" t="str">
        <f aca="false">IFERROR(__xludf.dummyfunction("""COMPUTED_VALUE"""),"Stores")</f>
        <v>Stores</v>
      </c>
      <c r="D464" s="2" t="str">
        <f aca="false">IFERROR(__xludf.dummyfunction("""COMPUTED_VALUE"""),"Kanha")</f>
        <v>Kanha</v>
      </c>
      <c r="E464" s="16" t="n">
        <f aca="false">IFERROR(__xludf.dummyfunction("""COMPUTED_VALUE"""),42394)</f>
        <v>42394</v>
      </c>
      <c r="F464" s="9" t="n">
        <f aca="false">IFERROR(__xludf.dummyfunction("""COMPUTED_VALUE"""),15000)</f>
        <v>15000</v>
      </c>
      <c r="G464" s="2" t="n">
        <f aca="false">IFERROR(__xludf.dummyfunction("""COMPUTED_VALUE"""),30)</f>
        <v>30</v>
      </c>
      <c r="H464" s="2" t="n">
        <f aca="false">IFERROR(__xludf.dummyfunction("""COMPUTED_VALUE"""),30)</f>
        <v>30</v>
      </c>
      <c r="I464" s="9" t="n">
        <f aca="false">IFERROR(__xludf.dummyfunction("""COMPUTED_VALUE"""),180000)</f>
        <v>180000</v>
      </c>
      <c r="J464" s="9" t="n">
        <f aca="false">IFERROR(__xludf.dummyfunction("""COMPUTED_VALUE"""),63)</f>
        <v>63</v>
      </c>
      <c r="K464" s="9"/>
      <c r="L464" s="9" t="n">
        <f aca="false">IFERROR(__xludf.dummyfunction("""COMPUTED_VALUE"""),0)</f>
        <v>0</v>
      </c>
      <c r="M464" s="9"/>
    </row>
    <row r="465" customFormat="false" ht="15.75" hidden="false" customHeight="false" outlineLevel="0" collapsed="false">
      <c r="A465" s="2" t="str">
        <f aca="false">IFERROR(__xludf.dummyfunction("""COMPUTED_VALUE"""),"SMSF/KAN/0711")</f>
        <v>SMSF/KAN/0711</v>
      </c>
      <c r="B465" s="2" t="str">
        <f aca="false">IFERROR(__xludf.dummyfunction("""COMPUTED_VALUE"""),"K MONICKAVASAGOM")</f>
        <v>K MONICKAVASAGOM</v>
      </c>
      <c r="C465" s="2" t="str">
        <f aca="false">IFERROR(__xludf.dummyfunction("""COMPUTED_VALUE"""),"Stores")</f>
        <v>Stores</v>
      </c>
      <c r="D465" s="2" t="str">
        <f aca="false">IFERROR(__xludf.dummyfunction("""COMPUTED_VALUE"""),"Kanha")</f>
        <v>Kanha</v>
      </c>
      <c r="E465" s="16" t="n">
        <f aca="false">IFERROR(__xludf.dummyfunction("""COMPUTED_VALUE"""),43041)</f>
        <v>43041</v>
      </c>
      <c r="F465" s="9" t="n">
        <f aca="false">IFERROR(__xludf.dummyfunction("""COMPUTED_VALUE"""),16000)</f>
        <v>16000</v>
      </c>
      <c r="G465" s="2" t="n">
        <f aca="false">IFERROR(__xludf.dummyfunction("""COMPUTED_VALUE"""),30)</f>
        <v>30</v>
      </c>
      <c r="H465" s="2" t="n">
        <f aca="false">IFERROR(__xludf.dummyfunction("""COMPUTED_VALUE"""),30)</f>
        <v>30</v>
      </c>
      <c r="I465" s="9" t="n">
        <f aca="false">IFERROR(__xludf.dummyfunction("""COMPUTED_VALUE"""),192000)</f>
        <v>192000</v>
      </c>
      <c r="J465" s="9" t="n">
        <f aca="false">IFERROR(__xludf.dummyfunction("""COMPUTED_VALUE"""),408)</f>
        <v>408</v>
      </c>
      <c r="K465" s="9"/>
      <c r="L465" s="9" t="n">
        <f aca="false">IFERROR(__xludf.dummyfunction("""COMPUTED_VALUE"""),0)</f>
        <v>0</v>
      </c>
      <c r="M465" s="9"/>
    </row>
    <row r="466" customFormat="false" ht="15.75" hidden="false" customHeight="false" outlineLevel="0" collapsed="false">
      <c r="A466" s="2" t="str">
        <f aca="false">IFERROR(__xludf.dummyfunction("""COMPUTED_VALUE"""),"SMSF/KAN/0712")</f>
        <v>SMSF/KAN/0712</v>
      </c>
      <c r="B466" s="2" t="str">
        <f aca="false">IFERROR(__xludf.dummyfunction("""COMPUTED_VALUE"""),"Obaleshwar ")</f>
        <v>Obaleshwar </v>
      </c>
      <c r="C466" s="2" t="str">
        <f aca="false">IFERROR(__xludf.dummyfunction("""COMPUTED_VALUE"""),"Stores")</f>
        <v>Stores</v>
      </c>
      <c r="D466" s="2" t="str">
        <f aca="false">IFERROR(__xludf.dummyfunction("""COMPUTED_VALUE"""),"Kanha")</f>
        <v>Kanha</v>
      </c>
      <c r="E466" s="16" t="n">
        <f aca="false">IFERROR(__xludf.dummyfunction("""COMPUTED_VALUE"""),43102)</f>
        <v>43102</v>
      </c>
      <c r="F466" s="9" t="n">
        <f aca="false">IFERROR(__xludf.dummyfunction("""COMPUTED_VALUE"""),13200)</f>
        <v>13200</v>
      </c>
      <c r="G466" s="2" t="n">
        <f aca="false">IFERROR(__xludf.dummyfunction("""COMPUTED_VALUE"""),30)</f>
        <v>30</v>
      </c>
      <c r="H466" s="2" t="n">
        <f aca="false">IFERROR(__xludf.dummyfunction("""COMPUTED_VALUE"""),30)</f>
        <v>30</v>
      </c>
      <c r="I466" s="9" t="n">
        <f aca="false">IFERROR(__xludf.dummyfunction("""COMPUTED_VALUE"""),158400)</f>
        <v>158400</v>
      </c>
      <c r="J466" s="9" t="n">
        <f aca="false">IFERROR(__xludf.dummyfunction("""COMPUTED_VALUE"""),95)</f>
        <v>95</v>
      </c>
      <c r="K466" s="9"/>
      <c r="L466" s="9" t="n">
        <f aca="false">IFERROR(__xludf.dummyfunction("""COMPUTED_VALUE"""),0)</f>
        <v>0</v>
      </c>
      <c r="M466" s="9"/>
    </row>
    <row r="467" customFormat="false" ht="15.75" hidden="false" customHeight="false" outlineLevel="0" collapsed="false">
      <c r="A467" s="2" t="str">
        <f aca="false">IFERROR(__xludf.dummyfunction("""COMPUTED_VALUE"""),"SHKJ/KAN/1259")</f>
        <v>SHKJ/KAN/1259</v>
      </c>
      <c r="B467" s="2" t="str">
        <f aca="false">IFERROR(__xludf.dummyfunction("""COMPUTED_VALUE"""),"Kousik Datta")</f>
        <v>Kousik Datta</v>
      </c>
      <c r="C467" s="2" t="str">
        <f aca="false">IFERROR(__xludf.dummyfunction("""COMPUTED_VALUE"""),"Civil")</f>
        <v>Civil</v>
      </c>
      <c r="D467" s="2" t="str">
        <f aca="false">IFERROR(__xludf.dummyfunction("""COMPUTED_VALUE"""),"Kanha")</f>
        <v>Kanha</v>
      </c>
      <c r="E467" s="16" t="n">
        <f aca="false">IFERROR(__xludf.dummyfunction("""COMPUTED_VALUE"""),43769)</f>
        <v>43769</v>
      </c>
      <c r="F467" s="9" t="n">
        <f aca="false">IFERROR(__xludf.dummyfunction("""COMPUTED_VALUE"""),110000)</f>
        <v>110000</v>
      </c>
      <c r="G467" s="2" t="n">
        <f aca="false">IFERROR(__xludf.dummyfunction("""COMPUTED_VALUE"""),30)</f>
        <v>30</v>
      </c>
      <c r="H467" s="2" t="n">
        <f aca="false">IFERROR(__xludf.dummyfunction("""COMPUTED_VALUE"""),30)</f>
        <v>30</v>
      </c>
      <c r="I467" s="9" t="n">
        <f aca="false">IFERROR(__xludf.dummyfunction("""COMPUTED_VALUE"""),1320000)</f>
        <v>1320000</v>
      </c>
      <c r="J467" s="9" t="n">
        <f aca="false">IFERROR(__xludf.dummyfunction("""COMPUTED_VALUE"""),398)</f>
        <v>398</v>
      </c>
      <c r="K467" s="9"/>
      <c r="L467" s="9" t="n">
        <f aca="false">IFERROR(__xludf.dummyfunction("""COMPUTED_VALUE"""),0)</f>
        <v>0</v>
      </c>
      <c r="M467" s="9"/>
    </row>
    <row r="468" customFormat="false" ht="15.75" hidden="false" customHeight="false" outlineLevel="0" collapsed="false">
      <c r="A468" s="2" t="str">
        <f aca="false">IFERROR(__xludf.dummyfunction("""COMPUTED_VALUE"""),"SHKJ/KAN/1290")</f>
        <v>SHKJ/KAN/1290</v>
      </c>
      <c r="B468" s="2" t="str">
        <f aca="false">IFERROR(__xludf.dummyfunction("""COMPUTED_VALUE"""),"Angad A R ")</f>
        <v>Angad A R </v>
      </c>
      <c r="C468" s="2" t="str">
        <f aca="false">IFERROR(__xludf.dummyfunction("""COMPUTED_VALUE"""),"Civil")</f>
        <v>Civil</v>
      </c>
      <c r="D468" s="2" t="str">
        <f aca="false">IFERROR(__xludf.dummyfunction("""COMPUTED_VALUE"""),"Kanha")</f>
        <v>Kanha</v>
      </c>
      <c r="E468" s="16" t="n">
        <f aca="false">IFERROR(__xludf.dummyfunction("""COMPUTED_VALUE"""),43773)</f>
        <v>43773</v>
      </c>
      <c r="F468" s="9" t="n">
        <f aca="false">IFERROR(__xludf.dummyfunction("""COMPUTED_VALUE"""),25000)</f>
        <v>25000</v>
      </c>
      <c r="G468" s="2" t="n">
        <f aca="false">IFERROR(__xludf.dummyfunction("""COMPUTED_VALUE"""),30)</f>
        <v>30</v>
      </c>
      <c r="H468" s="2" t="n">
        <f aca="false">IFERROR(__xludf.dummyfunction("""COMPUTED_VALUE"""),30)</f>
        <v>30</v>
      </c>
      <c r="I468" s="9" t="n">
        <f aca="false">IFERROR(__xludf.dummyfunction("""COMPUTED_VALUE"""),300000)</f>
        <v>300000</v>
      </c>
      <c r="J468" s="9" t="n">
        <f aca="false">IFERROR(__xludf.dummyfunction("""COMPUTED_VALUE"""),95)</f>
        <v>95</v>
      </c>
      <c r="K468" s="9"/>
      <c r="L468" s="9" t="n">
        <f aca="false">IFERROR(__xludf.dummyfunction("""COMPUTED_VALUE"""),0)</f>
        <v>0</v>
      </c>
      <c r="M468" s="9"/>
    </row>
    <row r="469" customFormat="false" ht="15.75" hidden="false" customHeight="false" outlineLevel="0" collapsed="false">
      <c r="A469" s="2" t="str">
        <f aca="false">IFERROR(__xludf.dummyfunction("""COMPUTED_VALUE"""),"SHKJ/KAN/1270")</f>
        <v>SHKJ/KAN/1270</v>
      </c>
      <c r="B469" s="2" t="str">
        <f aca="false">IFERROR(__xludf.dummyfunction("""COMPUTED_VALUE"""),"Palakolanu Naga Malleswar Reddy")</f>
        <v>Palakolanu Naga Malleswar Reddy</v>
      </c>
      <c r="C469" s="2" t="str">
        <f aca="false">IFERROR(__xludf.dummyfunction("""COMPUTED_VALUE"""),"Civil")</f>
        <v>Civil</v>
      </c>
      <c r="D469" s="2" t="str">
        <f aca="false">IFERROR(__xludf.dummyfunction("""COMPUTED_VALUE"""),"Kanha")</f>
        <v>Kanha</v>
      </c>
      <c r="E469" s="16" t="n">
        <f aca="false">IFERROR(__xludf.dummyfunction("""COMPUTED_VALUE"""),43773)</f>
        <v>43773</v>
      </c>
      <c r="F469" s="9" t="n">
        <f aca="false">IFERROR(__xludf.dummyfunction("""COMPUTED_VALUE"""),34000)</f>
        <v>34000</v>
      </c>
      <c r="G469" s="2" t="n">
        <f aca="false">IFERROR(__xludf.dummyfunction("""COMPUTED_VALUE"""),30)</f>
        <v>30</v>
      </c>
      <c r="H469" s="2" t="n">
        <f aca="false">IFERROR(__xludf.dummyfunction("""COMPUTED_VALUE"""),30)</f>
        <v>30</v>
      </c>
      <c r="I469" s="9" t="n">
        <f aca="false">IFERROR(__xludf.dummyfunction("""COMPUTED_VALUE"""),408000)</f>
        <v>408000</v>
      </c>
      <c r="J469" s="9" t="n">
        <f aca="false">IFERROR(__xludf.dummyfunction("""COMPUTED_VALUE"""),95)</f>
        <v>95</v>
      </c>
      <c r="K469" s="9"/>
      <c r="L469" s="9" t="n">
        <f aca="false">IFERROR(__xludf.dummyfunction("""COMPUTED_VALUE"""),0)</f>
        <v>0</v>
      </c>
      <c r="M469" s="9"/>
    </row>
    <row r="470" customFormat="false" ht="15.75" hidden="false" customHeight="false" outlineLevel="0" collapsed="false">
      <c r="A470" s="2" t="str">
        <f aca="false">IFERROR(__xludf.dummyfunction("""COMPUTED_VALUE"""),"SHKJ/KAN/1279")</f>
        <v>SHKJ/KAN/1279</v>
      </c>
      <c r="B470" s="2" t="str">
        <f aca="false">IFERROR(__xludf.dummyfunction("""COMPUTED_VALUE"""),"Jallagudem Manikyam ")</f>
        <v>Jallagudem Manikyam </v>
      </c>
      <c r="C470" s="2" t="str">
        <f aca="false">IFERROR(__xludf.dummyfunction("""COMPUTED_VALUE"""),"Purchase")</f>
        <v>Purchase</v>
      </c>
      <c r="D470" s="2" t="str">
        <f aca="false">IFERROR(__xludf.dummyfunction("""COMPUTED_VALUE"""),"Kanha")</f>
        <v>Kanha</v>
      </c>
      <c r="E470" s="16" t="n">
        <f aca="false">IFERROR(__xludf.dummyfunction("""COMPUTED_VALUE"""),43783)</f>
        <v>43783</v>
      </c>
      <c r="F470" s="9" t="n">
        <f aca="false">IFERROR(__xludf.dummyfunction("""COMPUTED_VALUE"""),11000)</f>
        <v>11000</v>
      </c>
      <c r="G470" s="2" t="n">
        <f aca="false">IFERROR(__xludf.dummyfunction("""COMPUTED_VALUE"""),30)</f>
        <v>30</v>
      </c>
      <c r="H470" s="2" t="n">
        <f aca="false">IFERROR(__xludf.dummyfunction("""COMPUTED_VALUE"""),30)</f>
        <v>30</v>
      </c>
      <c r="I470" s="9" t="n">
        <f aca="false">IFERROR(__xludf.dummyfunction("""COMPUTED_VALUE"""),132000)</f>
        <v>132000</v>
      </c>
      <c r="J470" s="9" t="n">
        <f aca="false">IFERROR(__xludf.dummyfunction("""COMPUTED_VALUE"""),126)</f>
        <v>126</v>
      </c>
      <c r="K470" s="9"/>
      <c r="L470" s="9" t="n">
        <f aca="false">IFERROR(__xludf.dummyfunction("""COMPUTED_VALUE"""),0)</f>
        <v>0</v>
      </c>
      <c r="M470" s="9"/>
    </row>
    <row r="471" customFormat="false" ht="15.75" hidden="false" customHeight="false" outlineLevel="0" collapsed="false">
      <c r="A471" s="2" t="str">
        <f aca="false">IFERROR(__xludf.dummyfunction("""COMPUTED_VALUE"""),"SHKJ/KAN/1287")</f>
        <v>SHKJ/KAN/1287</v>
      </c>
      <c r="B471" s="2" t="str">
        <f aca="false">IFERROR(__xludf.dummyfunction("""COMPUTED_VALUE"""),"Nitesh Nandlal Gaydhane")</f>
        <v>Nitesh Nandlal Gaydhane</v>
      </c>
      <c r="C471" s="2" t="str">
        <f aca="false">IFERROR(__xludf.dummyfunction("""COMPUTED_VALUE"""),"Stores")</f>
        <v>Stores</v>
      </c>
      <c r="D471" s="2" t="str">
        <f aca="false">IFERROR(__xludf.dummyfunction("""COMPUTED_VALUE"""),"Kanha")</f>
        <v>Kanha</v>
      </c>
      <c r="E471" s="16" t="n">
        <f aca="false">IFERROR(__xludf.dummyfunction("""COMPUTED_VALUE"""),43783)</f>
        <v>43783</v>
      </c>
      <c r="F471" s="9" t="n">
        <f aca="false">IFERROR(__xludf.dummyfunction("""COMPUTED_VALUE"""),10000)</f>
        <v>10000</v>
      </c>
      <c r="G471" s="2" t="n">
        <f aca="false">IFERROR(__xludf.dummyfunction("""COMPUTED_VALUE"""),30)</f>
        <v>30</v>
      </c>
      <c r="H471" s="2" t="n">
        <f aca="false">IFERROR(__xludf.dummyfunction("""COMPUTED_VALUE"""),30)</f>
        <v>30</v>
      </c>
      <c r="I471" s="9" t="n">
        <f aca="false">IFERROR(__xludf.dummyfunction("""COMPUTED_VALUE"""),120000)</f>
        <v>120000</v>
      </c>
      <c r="J471" s="9" t="n">
        <f aca="false">IFERROR(__xludf.dummyfunction("""COMPUTED_VALUE"""),95)</f>
        <v>95</v>
      </c>
      <c r="K471" s="9"/>
      <c r="L471" s="9" t="n">
        <f aca="false">IFERROR(__xludf.dummyfunction("""COMPUTED_VALUE"""),0)</f>
        <v>0</v>
      </c>
      <c r="M471" s="9"/>
    </row>
    <row r="472" customFormat="false" ht="15.75" hidden="false" customHeight="false" outlineLevel="0" collapsed="false">
      <c r="A472" s="2" t="str">
        <f aca="false">IFERROR(__xludf.dummyfunction("""COMPUTED_VALUE"""),"SHKJ/KAN/1292")</f>
        <v>SHKJ/KAN/1292</v>
      </c>
      <c r="B472" s="2" t="str">
        <f aca="false">IFERROR(__xludf.dummyfunction("""COMPUTED_VALUE"""),"B. Kotilinga Reddy")</f>
        <v>B. Kotilinga Reddy</v>
      </c>
      <c r="C472" s="2" t="str">
        <f aca="false">IFERROR(__xludf.dummyfunction("""COMPUTED_VALUE"""),"Civil")</f>
        <v>Civil</v>
      </c>
      <c r="D472" s="2" t="str">
        <f aca="false">IFERROR(__xludf.dummyfunction("""COMPUTED_VALUE"""),"Kanha")</f>
        <v>Kanha</v>
      </c>
      <c r="E472" s="16" t="n">
        <f aca="false">IFERROR(__xludf.dummyfunction("""COMPUTED_VALUE"""),43783)</f>
        <v>43783</v>
      </c>
      <c r="F472" s="9" t="n">
        <f aca="false">IFERROR(__xludf.dummyfunction("""COMPUTED_VALUE"""),16000)</f>
        <v>16000</v>
      </c>
      <c r="G472" s="2" t="n">
        <f aca="false">IFERROR(__xludf.dummyfunction("""COMPUTED_VALUE"""),30)</f>
        <v>30</v>
      </c>
      <c r="H472" s="2" t="n">
        <f aca="false">IFERROR(__xludf.dummyfunction("""COMPUTED_VALUE"""),30)</f>
        <v>30</v>
      </c>
      <c r="I472" s="9" t="n">
        <f aca="false">IFERROR(__xludf.dummyfunction("""COMPUTED_VALUE"""),192000)</f>
        <v>192000</v>
      </c>
      <c r="J472" s="9" t="n">
        <f aca="false">IFERROR(__xludf.dummyfunction("""COMPUTED_VALUE"""),191)</f>
        <v>191</v>
      </c>
      <c r="K472" s="9"/>
      <c r="L472" s="9" t="n">
        <f aca="false">IFERROR(__xludf.dummyfunction("""COMPUTED_VALUE"""),0)</f>
        <v>0</v>
      </c>
      <c r="M472" s="9"/>
    </row>
    <row r="473" customFormat="false" ht="15.75" hidden="false" customHeight="false" outlineLevel="0" collapsed="false">
      <c r="A473" s="2" t="str">
        <f aca="false">IFERROR(__xludf.dummyfunction("""COMPUTED_VALUE"""),"SHKJ/KAN/1291")</f>
        <v>SHKJ/KAN/1291</v>
      </c>
      <c r="B473" s="2" t="str">
        <f aca="false">IFERROR(__xludf.dummyfunction("""COMPUTED_VALUE"""),"Mahendranath Yadav")</f>
        <v>Mahendranath Yadav</v>
      </c>
      <c r="C473" s="2" t="str">
        <f aca="false">IFERROR(__xludf.dummyfunction("""COMPUTED_VALUE"""),"Electrical")</f>
        <v>Electrical</v>
      </c>
      <c r="D473" s="2" t="str">
        <f aca="false">IFERROR(__xludf.dummyfunction("""COMPUTED_VALUE"""),"Kanha")</f>
        <v>Kanha</v>
      </c>
      <c r="E473" s="16" t="n">
        <f aca="false">IFERROR(__xludf.dummyfunction("""COMPUTED_VALUE"""),43777)</f>
        <v>43777</v>
      </c>
      <c r="F473" s="9" t="n">
        <f aca="false">IFERROR(__xludf.dummyfunction("""COMPUTED_VALUE"""),15000)</f>
        <v>15000</v>
      </c>
      <c r="G473" s="2" t="n">
        <f aca="false">IFERROR(__xludf.dummyfunction("""COMPUTED_VALUE"""),30)</f>
        <v>30</v>
      </c>
      <c r="H473" s="2" t="n">
        <f aca="false">IFERROR(__xludf.dummyfunction("""COMPUTED_VALUE"""),30)</f>
        <v>30</v>
      </c>
      <c r="I473" s="9" t="n">
        <f aca="false">IFERROR(__xludf.dummyfunction("""COMPUTED_VALUE"""),180000)</f>
        <v>180000</v>
      </c>
      <c r="J473" s="9" t="n">
        <f aca="false">IFERROR(__xludf.dummyfunction("""COMPUTED_VALUE"""),254)</f>
        <v>254</v>
      </c>
      <c r="K473" s="9"/>
      <c r="L473" s="9" t="n">
        <f aca="false">IFERROR(__xludf.dummyfunction("""COMPUTED_VALUE"""),0)</f>
        <v>0</v>
      </c>
      <c r="M473" s="9"/>
    </row>
    <row r="474" customFormat="false" ht="15.75" hidden="false" customHeight="false" outlineLevel="0" collapsed="false">
      <c r="A474" s="2" t="str">
        <f aca="false">IFERROR(__xludf.dummyfunction("""COMPUTED_VALUE"""),"SHKJ/KAN/1293")</f>
        <v>SHKJ/KAN/1293</v>
      </c>
      <c r="B474" s="2" t="str">
        <f aca="false">IFERROR(__xludf.dummyfunction("""COMPUTED_VALUE"""),"Kesaram Srinivas")</f>
        <v>Kesaram Srinivas</v>
      </c>
      <c r="C474" s="2" t="str">
        <f aca="false">IFERROR(__xludf.dummyfunction("""COMPUTED_VALUE"""),"Solid Waste Management")</f>
        <v>Solid Waste Management</v>
      </c>
      <c r="D474" s="2" t="str">
        <f aca="false">IFERROR(__xludf.dummyfunction("""COMPUTED_VALUE"""),"Kanha")</f>
        <v>Kanha</v>
      </c>
      <c r="E474" s="16" t="n">
        <f aca="false">IFERROR(__xludf.dummyfunction("""COMPUTED_VALUE"""),43784)</f>
        <v>43784</v>
      </c>
      <c r="F474" s="9" t="n">
        <f aca="false">IFERROR(__xludf.dummyfunction("""COMPUTED_VALUE"""),10000)</f>
        <v>10000</v>
      </c>
      <c r="G474" s="2" t="n">
        <f aca="false">IFERROR(__xludf.dummyfunction("""COMPUTED_VALUE"""),30)</f>
        <v>30</v>
      </c>
      <c r="H474" s="2" t="n">
        <f aca="false">IFERROR(__xludf.dummyfunction("""COMPUTED_VALUE"""),30)</f>
        <v>30</v>
      </c>
      <c r="I474" s="9" t="n">
        <f aca="false">IFERROR(__xludf.dummyfunction("""COMPUTED_VALUE"""),120000)</f>
        <v>120000</v>
      </c>
      <c r="J474" s="9" t="n">
        <f aca="false">IFERROR(__xludf.dummyfunction("""COMPUTED_VALUE"""),462)</f>
        <v>462</v>
      </c>
      <c r="K474" s="9"/>
      <c r="L474" s="9" t="n">
        <f aca="false">IFERROR(__xludf.dummyfunction("""COMPUTED_VALUE"""),0)</f>
        <v>0</v>
      </c>
      <c r="M474" s="9"/>
    </row>
    <row r="475" customFormat="false" ht="15.75" hidden="false" customHeight="false" outlineLevel="0" collapsed="false">
      <c r="A475" s="2" t="str">
        <f aca="false">IFERROR(__xludf.dummyfunction("""COMPUTED_VALUE"""),"SHKJ/KAN/1357")</f>
        <v>SHKJ/KAN/1357</v>
      </c>
      <c r="B475" s="2" t="str">
        <f aca="false">IFERROR(__xludf.dummyfunction("""COMPUTED_VALUE"""),"G. Purushothaman")</f>
        <v>G. Purushothaman</v>
      </c>
      <c r="C475" s="2" t="str">
        <f aca="false">IFERROR(__xludf.dummyfunction("""COMPUTED_VALUE"""),"Tool Room")</f>
        <v>Tool Room</v>
      </c>
      <c r="D475" s="2" t="str">
        <f aca="false">IFERROR(__xludf.dummyfunction("""COMPUTED_VALUE"""),"Kanha")</f>
        <v>Kanha</v>
      </c>
      <c r="E475" s="16" t="n">
        <f aca="false">IFERROR(__xludf.dummyfunction("""COMPUTED_VALUE"""),43754)</f>
        <v>43754</v>
      </c>
      <c r="F475" s="9" t="n">
        <f aca="false">IFERROR(__xludf.dummyfunction("""COMPUTED_VALUE"""),20000)</f>
        <v>20000</v>
      </c>
      <c r="G475" s="2" t="n">
        <f aca="false">IFERROR(__xludf.dummyfunction("""COMPUTED_VALUE"""),30)</f>
        <v>30</v>
      </c>
      <c r="H475" s="2" t="n">
        <f aca="false">IFERROR(__xludf.dummyfunction("""COMPUTED_VALUE"""),30)</f>
        <v>30</v>
      </c>
      <c r="I475" s="9" t="n">
        <f aca="false">IFERROR(__xludf.dummyfunction("""COMPUTED_VALUE"""),240000)</f>
        <v>240000</v>
      </c>
      <c r="J475" s="9" t="n">
        <f aca="false">IFERROR(__xludf.dummyfunction("""COMPUTED_VALUE"""),601)</f>
        <v>601</v>
      </c>
      <c r="K475" s="9"/>
      <c r="L475" s="9" t="n">
        <f aca="false">IFERROR(__xludf.dummyfunction("""COMPUTED_VALUE"""),0)</f>
        <v>0</v>
      </c>
      <c r="M475" s="9"/>
    </row>
    <row r="476" customFormat="false" ht="15.75" hidden="false" customHeight="false" outlineLevel="0" collapsed="false">
      <c r="A476" s="2" t="str">
        <f aca="false">IFERROR(__xludf.dummyfunction("""COMPUTED_VALUE"""),"HFI/KAN/1229")</f>
        <v>HFI/KAN/1229</v>
      </c>
      <c r="B476" s="2" t="str">
        <f aca="false">IFERROR(__xludf.dummyfunction("""COMPUTED_VALUE"""),"Giribabu. Annapaneni")</f>
        <v>Giribabu. Annapaneni</v>
      </c>
      <c r="C476" s="2" t="str">
        <f aca="false">IFERROR(__xludf.dummyfunction("""COMPUTED_VALUE"""),"Civil")</f>
        <v>Civil</v>
      </c>
      <c r="D476" s="2" t="str">
        <f aca="false">IFERROR(__xludf.dummyfunction("""COMPUTED_VALUE"""),"Kanha")</f>
        <v>Kanha</v>
      </c>
      <c r="E476" s="16" t="n">
        <f aca="false">IFERROR(__xludf.dummyfunction("""COMPUTED_VALUE"""),43749)</f>
        <v>43749</v>
      </c>
      <c r="F476" s="9" t="n">
        <f aca="false">IFERROR(__xludf.dummyfunction("""COMPUTED_VALUE"""),40000)</f>
        <v>40000</v>
      </c>
      <c r="G476" s="2" t="n">
        <f aca="false">IFERROR(__xludf.dummyfunction("""COMPUTED_VALUE"""),30)</f>
        <v>30</v>
      </c>
      <c r="H476" s="2" t="n">
        <f aca="false">IFERROR(__xludf.dummyfunction("""COMPUTED_VALUE"""),30)</f>
        <v>30</v>
      </c>
      <c r="I476" s="9" t="n">
        <f aca="false">IFERROR(__xludf.dummyfunction("""COMPUTED_VALUE"""),480000)</f>
        <v>480000</v>
      </c>
      <c r="J476" s="9" t="n">
        <f aca="false">IFERROR(__xludf.dummyfunction("""COMPUTED_VALUE"""),317)</f>
        <v>317</v>
      </c>
      <c r="K476" s="9"/>
      <c r="L476" s="9" t="n">
        <f aca="false">IFERROR(__xludf.dummyfunction("""COMPUTED_VALUE"""),0)</f>
        <v>0</v>
      </c>
      <c r="M476" s="9"/>
    </row>
    <row r="477" customFormat="false" ht="15.75" hidden="false" customHeight="false" outlineLevel="0" collapsed="false">
      <c r="A477" s="2" t="str">
        <f aca="false">IFERROR(__xludf.dummyfunction("""COMPUTED_VALUE"""),"SHKJ/KAN/1299")</f>
        <v>SHKJ/KAN/1299</v>
      </c>
      <c r="B477" s="2" t="str">
        <f aca="false">IFERROR(__xludf.dummyfunction("""COMPUTED_VALUE"""),"Sunkam Rajashekhar Reddy")</f>
        <v>Sunkam Rajashekhar Reddy</v>
      </c>
      <c r="C477" s="2" t="str">
        <f aca="false">IFERROR(__xludf.dummyfunction("""COMPUTED_VALUE"""),"Accounts")</f>
        <v>Accounts</v>
      </c>
      <c r="D477" s="2" t="str">
        <f aca="false">IFERROR(__xludf.dummyfunction("""COMPUTED_VALUE"""),"Kanha")</f>
        <v>Kanha</v>
      </c>
      <c r="E477" s="16" t="n">
        <f aca="false">IFERROR(__xludf.dummyfunction("""COMPUTED_VALUE"""),43793)</f>
        <v>43793</v>
      </c>
      <c r="F477" s="9" t="n">
        <f aca="false">IFERROR(__xludf.dummyfunction("""COMPUTED_VALUE"""),27000)</f>
        <v>27000</v>
      </c>
      <c r="G477" s="2" t="n">
        <f aca="false">IFERROR(__xludf.dummyfunction("""COMPUTED_VALUE"""),30)</f>
        <v>30</v>
      </c>
      <c r="H477" s="2" t="n">
        <f aca="false">IFERROR(__xludf.dummyfunction("""COMPUTED_VALUE"""),30)</f>
        <v>30</v>
      </c>
      <c r="I477" s="9" t="n">
        <f aca="false">IFERROR(__xludf.dummyfunction("""COMPUTED_VALUE"""),324000)</f>
        <v>324000</v>
      </c>
      <c r="J477" s="9" t="n">
        <f aca="false">IFERROR(__xludf.dummyfunction("""COMPUTED_VALUE"""),95)</f>
        <v>95</v>
      </c>
      <c r="K477" s="9"/>
      <c r="L477" s="9" t="n">
        <f aca="false">IFERROR(__xludf.dummyfunction("""COMPUTED_VALUE"""),0)</f>
        <v>0</v>
      </c>
      <c r="M477" s="9"/>
    </row>
    <row r="478" customFormat="false" ht="15.75" hidden="false" customHeight="false" outlineLevel="0" collapsed="false">
      <c r="A478" s="2" t="str">
        <f aca="false">IFERROR(__xludf.dummyfunction("""COMPUTED_VALUE"""),"SHKJ/KAN/1333")</f>
        <v>SHKJ/KAN/1333</v>
      </c>
      <c r="B478" s="2" t="str">
        <f aca="false">IFERROR(__xludf.dummyfunction("""COMPUTED_VALUE"""),"Ajithkumar Anbalagan")</f>
        <v>Ajithkumar Anbalagan</v>
      </c>
      <c r="C478" s="2" t="str">
        <f aca="false">IFERROR(__xludf.dummyfunction("""COMPUTED_VALUE"""),"Civil")</f>
        <v>Civil</v>
      </c>
      <c r="D478" s="2" t="str">
        <f aca="false">IFERROR(__xludf.dummyfunction("""COMPUTED_VALUE"""),"Kanha")</f>
        <v>Kanha</v>
      </c>
      <c r="E478" s="16" t="n">
        <f aca="false">IFERROR(__xludf.dummyfunction("""COMPUTED_VALUE"""),43789)</f>
        <v>43789</v>
      </c>
      <c r="F478" s="9" t="n">
        <f aca="false">IFERROR(__xludf.dummyfunction("""COMPUTED_VALUE"""),15000)</f>
        <v>15000</v>
      </c>
      <c r="G478" s="2" t="n">
        <f aca="false">IFERROR(__xludf.dummyfunction("""COMPUTED_VALUE"""),30)</f>
        <v>30</v>
      </c>
      <c r="H478" s="2" t="n">
        <f aca="false">IFERROR(__xludf.dummyfunction("""COMPUTED_VALUE"""),30)</f>
        <v>30</v>
      </c>
      <c r="I478" s="9" t="n">
        <f aca="false">IFERROR(__xludf.dummyfunction("""COMPUTED_VALUE"""),180000)</f>
        <v>180000</v>
      </c>
      <c r="J478" s="9" t="n">
        <f aca="false">IFERROR(__xludf.dummyfunction("""COMPUTED_VALUE"""),63)</f>
        <v>63</v>
      </c>
      <c r="K478" s="9"/>
      <c r="L478" s="9" t="n">
        <f aca="false">IFERROR(__xludf.dummyfunction("""COMPUTED_VALUE"""),0)</f>
        <v>0</v>
      </c>
      <c r="M478" s="9"/>
    </row>
    <row r="479" customFormat="false" ht="15.75" hidden="false" customHeight="false" outlineLevel="0" collapsed="false">
      <c r="A479" s="2" t="str">
        <f aca="false">IFERROR(__xludf.dummyfunction("""COMPUTED_VALUE"""),"SHKJ/KAN/1324")</f>
        <v>SHKJ/KAN/1324</v>
      </c>
      <c r="B479" s="2" t="str">
        <f aca="false">IFERROR(__xludf.dummyfunction("""COMPUTED_VALUE"""),"Deva Kumar Nanda")</f>
        <v>Deva Kumar Nanda</v>
      </c>
      <c r="C479" s="2" t="str">
        <f aca="false">IFERROR(__xludf.dummyfunction("""COMPUTED_VALUE"""),"Civil")</f>
        <v>Civil</v>
      </c>
      <c r="D479" s="2" t="str">
        <f aca="false">IFERROR(__xludf.dummyfunction("""COMPUTED_VALUE"""),"Kanha")</f>
        <v>Kanha</v>
      </c>
      <c r="E479" s="16" t="n">
        <f aca="false">IFERROR(__xludf.dummyfunction("""COMPUTED_VALUE"""),43787)</f>
        <v>43787</v>
      </c>
      <c r="F479" s="9" t="n">
        <f aca="false">IFERROR(__xludf.dummyfunction("""COMPUTED_VALUE"""),18000)</f>
        <v>18000</v>
      </c>
      <c r="G479" s="2" t="n">
        <f aca="false">IFERROR(__xludf.dummyfunction("""COMPUTED_VALUE"""),30)</f>
        <v>30</v>
      </c>
      <c r="H479" s="2" t="n">
        <f aca="false">IFERROR(__xludf.dummyfunction("""COMPUTED_VALUE"""),30)</f>
        <v>30</v>
      </c>
      <c r="I479" s="9" t="n">
        <f aca="false">IFERROR(__xludf.dummyfunction("""COMPUTED_VALUE"""),216000)</f>
        <v>216000</v>
      </c>
      <c r="J479" s="9" t="n">
        <f aca="false">IFERROR(__xludf.dummyfunction("""COMPUTED_VALUE"""),63)</f>
        <v>63</v>
      </c>
      <c r="K479" s="9"/>
      <c r="L479" s="9" t="n">
        <f aca="false">IFERROR(__xludf.dummyfunction("""COMPUTED_VALUE"""),0)</f>
        <v>0</v>
      </c>
      <c r="M479" s="9"/>
    </row>
    <row r="480" customFormat="false" ht="15.75" hidden="false" customHeight="false" outlineLevel="0" collapsed="false">
      <c r="A480" s="2" t="str">
        <f aca="false">IFERROR(__xludf.dummyfunction("""COMPUTED_VALUE"""),"SHKJ/KAN/1336")</f>
        <v>SHKJ/KAN/1336</v>
      </c>
      <c r="B480" s="2" t="str">
        <f aca="false">IFERROR(__xludf.dummyfunction("""COMPUTED_VALUE"""),"Vijay Bahadur")</f>
        <v>Vijay Bahadur</v>
      </c>
      <c r="C480" s="2" t="str">
        <f aca="false">IFERROR(__xludf.dummyfunction("""COMPUTED_VALUE"""),"Civil")</f>
        <v>Civil</v>
      </c>
      <c r="D480" s="2" t="str">
        <f aca="false">IFERROR(__xludf.dummyfunction("""COMPUTED_VALUE"""),"Kanha")</f>
        <v>Kanha</v>
      </c>
      <c r="E480" s="16" t="n">
        <f aca="false">IFERROR(__xludf.dummyfunction("""COMPUTED_VALUE"""),43799)</f>
        <v>43799</v>
      </c>
      <c r="F480" s="9" t="n">
        <f aca="false">IFERROR(__xludf.dummyfunction("""COMPUTED_VALUE"""),30000)</f>
        <v>30000</v>
      </c>
      <c r="G480" s="2" t="n">
        <f aca="false">IFERROR(__xludf.dummyfunction("""COMPUTED_VALUE"""),30)</f>
        <v>30</v>
      </c>
      <c r="H480" s="2" t="n">
        <f aca="false">IFERROR(__xludf.dummyfunction("""COMPUTED_VALUE"""),30)</f>
        <v>30</v>
      </c>
      <c r="I480" s="9" t="n">
        <f aca="false">IFERROR(__xludf.dummyfunction("""COMPUTED_VALUE"""),360000)</f>
        <v>360000</v>
      </c>
      <c r="J480" s="9" t="n">
        <f aca="false">IFERROR(__xludf.dummyfunction("""COMPUTED_VALUE"""),524)</f>
        <v>524</v>
      </c>
      <c r="K480" s="9"/>
      <c r="L480" s="9" t="n">
        <f aca="false">IFERROR(__xludf.dummyfunction("""COMPUTED_VALUE"""),0)</f>
        <v>0</v>
      </c>
      <c r="M480" s="9"/>
    </row>
    <row r="481" customFormat="false" ht="15.75" hidden="false" customHeight="false" outlineLevel="0" collapsed="false">
      <c r="A481" s="2" t="str">
        <f aca="false">IFERROR(__xludf.dummyfunction("""COMPUTED_VALUE"""),"SHKJ/KAN/1337")</f>
        <v>SHKJ/KAN/1337</v>
      </c>
      <c r="B481" s="2" t="str">
        <f aca="false">IFERROR(__xludf.dummyfunction("""COMPUTED_VALUE"""),"Virender M H")</f>
        <v>Virender M H</v>
      </c>
      <c r="C481" s="2" t="str">
        <f aca="false">IFERROR(__xludf.dummyfunction("""COMPUTED_VALUE"""),"Maintenance")</f>
        <v>Maintenance</v>
      </c>
      <c r="D481" s="2" t="str">
        <f aca="false">IFERROR(__xludf.dummyfunction("""COMPUTED_VALUE"""),"Kanha")</f>
        <v>Kanha</v>
      </c>
      <c r="E481" s="16" t="n">
        <f aca="false">IFERROR(__xludf.dummyfunction("""COMPUTED_VALUE"""),43800)</f>
        <v>43800</v>
      </c>
      <c r="F481" s="9" t="n">
        <f aca="false">IFERROR(__xludf.dummyfunction("""COMPUTED_VALUE"""),15000)</f>
        <v>15000</v>
      </c>
      <c r="G481" s="2" t="n">
        <f aca="false">IFERROR(__xludf.dummyfunction("""COMPUTED_VALUE"""),30)</f>
        <v>30</v>
      </c>
      <c r="H481" s="2" t="n">
        <f aca="false">IFERROR(__xludf.dummyfunction("""COMPUTED_VALUE"""),30)</f>
        <v>30</v>
      </c>
      <c r="I481" s="9" t="n">
        <f aca="false">IFERROR(__xludf.dummyfunction("""COMPUTED_VALUE"""),180000)</f>
        <v>180000</v>
      </c>
      <c r="J481" s="9" t="n">
        <f aca="false">IFERROR(__xludf.dummyfunction("""COMPUTED_VALUE"""),95)</f>
        <v>95</v>
      </c>
      <c r="K481" s="9"/>
      <c r="L481" s="9" t="n">
        <f aca="false">IFERROR(__xludf.dummyfunction("""COMPUTED_VALUE"""),0)</f>
        <v>0</v>
      </c>
      <c r="M481" s="9"/>
    </row>
    <row r="482" customFormat="false" ht="15.75" hidden="false" customHeight="false" outlineLevel="0" collapsed="false">
      <c r="A482" s="2" t="str">
        <f aca="false">IFERROR(__xludf.dummyfunction("""COMPUTED_VALUE"""),"SRC/KAN/1189")</f>
        <v>SRC/KAN/1189</v>
      </c>
      <c r="B482" s="2" t="str">
        <f aca="false">IFERROR(__xludf.dummyfunction("""COMPUTED_VALUE"""),"Arumugam ")</f>
        <v>Arumugam </v>
      </c>
      <c r="C482" s="2" t="str">
        <f aca="false">IFERROR(__xludf.dummyfunction("""COMPUTED_VALUE"""),"General Store")</f>
        <v>General Store</v>
      </c>
      <c r="D482" s="2" t="str">
        <f aca="false">IFERROR(__xludf.dummyfunction("""COMPUTED_VALUE"""),"Kanha")</f>
        <v>Kanha</v>
      </c>
      <c r="E482" s="16" t="n">
        <f aca="false">IFERROR(__xludf.dummyfunction("""COMPUTED_VALUE"""),43672)</f>
        <v>43672</v>
      </c>
      <c r="F482" s="9" t="n">
        <f aca="false">IFERROR(__xludf.dummyfunction("""COMPUTED_VALUE"""),15000)</f>
        <v>15000</v>
      </c>
      <c r="G482" s="2" t="n">
        <f aca="false">IFERROR(__xludf.dummyfunction("""COMPUTED_VALUE"""),30)</f>
        <v>30</v>
      </c>
      <c r="H482" s="2" t="n">
        <f aca="false">IFERROR(__xludf.dummyfunction("""COMPUTED_VALUE"""),30)</f>
        <v>30</v>
      </c>
      <c r="I482" s="9" t="n">
        <f aca="false">IFERROR(__xludf.dummyfunction("""COMPUTED_VALUE"""),180000)</f>
        <v>180000</v>
      </c>
      <c r="J482" s="9" t="n">
        <f aca="false">IFERROR(__xludf.dummyfunction("""COMPUTED_VALUE"""),63)</f>
        <v>63</v>
      </c>
      <c r="K482" s="9"/>
      <c r="L482" s="9" t="n">
        <f aca="false">IFERROR(__xludf.dummyfunction("""COMPUTED_VALUE"""),0)</f>
        <v>0</v>
      </c>
      <c r="M482" s="9"/>
    </row>
    <row r="483" customFormat="false" ht="15.75" hidden="false" customHeight="false" outlineLevel="0" collapsed="false">
      <c r="A483" s="2" t="str">
        <f aca="false">IFERROR(__xludf.dummyfunction("""COMPUTED_VALUE"""),"SHKJ/KAN/1372")</f>
        <v>SHKJ/KAN/1372</v>
      </c>
      <c r="B483" s="2" t="str">
        <f aca="false">IFERROR(__xludf.dummyfunction("""COMPUTED_VALUE"""),"Manjunath J P")</f>
        <v>Manjunath J P</v>
      </c>
      <c r="C483" s="2" t="str">
        <f aca="false">IFERROR(__xludf.dummyfunction("""COMPUTED_VALUE"""),"Civil QS")</f>
        <v>Civil QS</v>
      </c>
      <c r="D483" s="2" t="str">
        <f aca="false">IFERROR(__xludf.dummyfunction("""COMPUTED_VALUE"""),"Kanha")</f>
        <v>Kanha</v>
      </c>
      <c r="E483" s="16" t="n">
        <f aca="false">IFERROR(__xludf.dummyfunction("""COMPUTED_VALUE"""),43846)</f>
        <v>43846</v>
      </c>
      <c r="F483" s="9" t="n">
        <f aca="false">IFERROR(__xludf.dummyfunction("""COMPUTED_VALUE"""),30000)</f>
        <v>30000</v>
      </c>
      <c r="G483" s="2" t="n">
        <f aca="false">IFERROR(__xludf.dummyfunction("""COMPUTED_VALUE"""),30)</f>
        <v>30</v>
      </c>
      <c r="H483" s="2" t="n">
        <f aca="false">IFERROR(__xludf.dummyfunction("""COMPUTED_VALUE"""),30)</f>
        <v>30</v>
      </c>
      <c r="I483" s="9" t="n">
        <f aca="false">IFERROR(__xludf.dummyfunction("""COMPUTED_VALUE"""),360000)</f>
        <v>360000</v>
      </c>
      <c r="J483" s="9" t="n">
        <f aca="false">IFERROR(__xludf.dummyfunction("""COMPUTED_VALUE"""),95)</f>
        <v>95</v>
      </c>
      <c r="K483" s="9"/>
      <c r="L483" s="9" t="n">
        <f aca="false">IFERROR(__xludf.dummyfunction("""COMPUTED_VALUE"""),0)</f>
        <v>0</v>
      </c>
      <c r="M483" s="9"/>
    </row>
    <row r="484" customFormat="false" ht="15.75" hidden="false" customHeight="false" outlineLevel="0" collapsed="false">
      <c r="A484" s="2" t="str">
        <f aca="false">IFERROR(__xludf.dummyfunction("""COMPUTED_VALUE"""),"SHKJ/KAN/1365")</f>
        <v>SHKJ/KAN/1365</v>
      </c>
      <c r="B484" s="2" t="str">
        <f aca="false">IFERROR(__xludf.dummyfunction("""COMPUTED_VALUE"""),"G. Karthikeyen")</f>
        <v>G. Karthikeyen</v>
      </c>
      <c r="C484" s="2" t="str">
        <f aca="false">IFERROR(__xludf.dummyfunction("""COMPUTED_VALUE"""),"Civil")</f>
        <v>Civil</v>
      </c>
      <c r="D484" s="2" t="str">
        <f aca="false">IFERROR(__xludf.dummyfunction("""COMPUTED_VALUE"""),"Kanha")</f>
        <v>Kanha</v>
      </c>
      <c r="E484" s="16" t="n">
        <f aca="false">IFERROR(__xludf.dummyfunction("""COMPUTED_VALUE"""),43832)</f>
        <v>43832</v>
      </c>
      <c r="F484" s="9" t="n">
        <f aca="false">IFERROR(__xludf.dummyfunction("""COMPUTED_VALUE"""),16000)</f>
        <v>16000</v>
      </c>
      <c r="G484" s="2" t="n">
        <f aca="false">IFERROR(__xludf.dummyfunction("""COMPUTED_VALUE"""),30)</f>
        <v>30</v>
      </c>
      <c r="H484" s="2" t="n">
        <f aca="false">IFERROR(__xludf.dummyfunction("""COMPUTED_VALUE"""),30)</f>
        <v>30</v>
      </c>
      <c r="I484" s="9" t="n">
        <f aca="false">IFERROR(__xludf.dummyfunction("""COMPUTED_VALUE"""),192000)</f>
        <v>192000</v>
      </c>
      <c r="J484" s="9" t="n">
        <f aca="false">IFERROR(__xludf.dummyfunction("""COMPUTED_VALUE"""),189)</f>
        <v>189</v>
      </c>
      <c r="K484" s="9"/>
      <c r="L484" s="9" t="n">
        <f aca="false">IFERROR(__xludf.dummyfunction("""COMPUTED_VALUE"""),0)</f>
        <v>0</v>
      </c>
      <c r="M484" s="9"/>
    </row>
    <row r="485" customFormat="false" ht="15.75" hidden="false" customHeight="false" outlineLevel="0" collapsed="false">
      <c r="A485" s="2" t="str">
        <f aca="false">IFERROR(__xludf.dummyfunction("""COMPUTED_VALUE"""),"SHKJ/KAN/1367")</f>
        <v>SHKJ/KAN/1367</v>
      </c>
      <c r="B485" s="2" t="str">
        <f aca="false">IFERROR(__xludf.dummyfunction("""COMPUTED_VALUE"""),"Macharla Sairam")</f>
        <v>Macharla Sairam</v>
      </c>
      <c r="C485" s="2" t="str">
        <f aca="false">IFERROR(__xludf.dummyfunction("""COMPUTED_VALUE"""),"Civil")</f>
        <v>Civil</v>
      </c>
      <c r="D485" s="2" t="str">
        <f aca="false">IFERROR(__xludf.dummyfunction("""COMPUTED_VALUE"""),"Kanha")</f>
        <v>Kanha</v>
      </c>
      <c r="E485" s="16" t="n">
        <f aca="false">IFERROR(__xludf.dummyfunction("""COMPUTED_VALUE"""),43826)</f>
        <v>43826</v>
      </c>
      <c r="F485" s="9" t="n">
        <f aca="false">IFERROR(__xludf.dummyfunction("""COMPUTED_VALUE"""),9000)</f>
        <v>9000</v>
      </c>
      <c r="G485" s="2" t="n">
        <f aca="false">IFERROR(__xludf.dummyfunction("""COMPUTED_VALUE"""),30)</f>
        <v>30</v>
      </c>
      <c r="H485" s="2" t="n">
        <f aca="false">IFERROR(__xludf.dummyfunction("""COMPUTED_VALUE"""),30)</f>
        <v>30</v>
      </c>
      <c r="I485" s="9" t="n">
        <f aca="false">IFERROR(__xludf.dummyfunction("""COMPUTED_VALUE"""),108000)</f>
        <v>108000</v>
      </c>
      <c r="J485" s="9" t="n">
        <f aca="false">IFERROR(__xludf.dummyfunction("""COMPUTED_VALUE"""),95)</f>
        <v>95</v>
      </c>
      <c r="K485" s="9"/>
      <c r="L485" s="9" t="n">
        <f aca="false">IFERROR(__xludf.dummyfunction("""COMPUTED_VALUE"""),0)</f>
        <v>0</v>
      </c>
      <c r="M485" s="9"/>
    </row>
    <row r="486" customFormat="false" ht="15.75" hidden="false" customHeight="false" outlineLevel="0" collapsed="false">
      <c r="A486" s="2" t="str">
        <f aca="false">IFERROR(__xludf.dummyfunction("""COMPUTED_VALUE"""),"SMSF/KAN/1338")</f>
        <v>SMSF/KAN/1338</v>
      </c>
      <c r="B486" s="2" t="str">
        <f aca="false">IFERROR(__xludf.dummyfunction("""COMPUTED_VALUE"""),"Sai Prasad Yerrakunta ")</f>
        <v>Sai Prasad Yerrakunta </v>
      </c>
      <c r="C486" s="2" t="str">
        <f aca="false">IFERROR(__xludf.dummyfunction("""COMPUTED_VALUE"""),"Men &amp; Machines")</f>
        <v>Men &amp; Machines</v>
      </c>
      <c r="D486" s="2" t="str">
        <f aca="false">IFERROR(__xludf.dummyfunction("""COMPUTED_VALUE"""),"Kanha")</f>
        <v>Kanha</v>
      </c>
      <c r="E486" s="16" t="n">
        <f aca="false">IFERROR(__xludf.dummyfunction("""COMPUTED_VALUE"""),43824)</f>
        <v>43824</v>
      </c>
      <c r="F486" s="9" t="n">
        <f aca="false">IFERROR(__xludf.dummyfunction("""COMPUTED_VALUE"""),15000)</f>
        <v>15000</v>
      </c>
      <c r="G486" s="2" t="n">
        <f aca="false">IFERROR(__xludf.dummyfunction("""COMPUTED_VALUE"""),30)</f>
        <v>30</v>
      </c>
      <c r="H486" s="2" t="n">
        <f aca="false">IFERROR(__xludf.dummyfunction("""COMPUTED_VALUE"""),30)</f>
        <v>30</v>
      </c>
      <c r="I486" s="9" t="n">
        <f aca="false">IFERROR(__xludf.dummyfunction("""COMPUTED_VALUE"""),180000)</f>
        <v>180000</v>
      </c>
      <c r="J486" s="9" t="n">
        <f aca="false">IFERROR(__xludf.dummyfunction("""COMPUTED_VALUE"""),63)</f>
        <v>63</v>
      </c>
      <c r="K486" s="9"/>
      <c r="L486" s="9" t="n">
        <f aca="false">IFERROR(__xludf.dummyfunction("""COMPUTED_VALUE"""),0)</f>
        <v>0</v>
      </c>
      <c r="M486" s="9"/>
    </row>
    <row r="487" customFormat="false" ht="15.75" hidden="false" customHeight="false" outlineLevel="0" collapsed="false">
      <c r="A487" s="2" t="str">
        <f aca="false">IFERROR(__xludf.dummyfunction("""COMPUTED_VALUE"""),"SHKJ/KAN/1371")</f>
        <v>SHKJ/KAN/1371</v>
      </c>
      <c r="B487" s="2" t="str">
        <f aca="false">IFERROR(__xludf.dummyfunction("""COMPUTED_VALUE"""),"R Vetrichelvan")</f>
        <v>R Vetrichelvan</v>
      </c>
      <c r="C487" s="2" t="str">
        <f aca="false">IFERROR(__xludf.dummyfunction("""COMPUTED_VALUE"""),"Electrical")</f>
        <v>Electrical</v>
      </c>
      <c r="D487" s="2" t="str">
        <f aca="false">IFERROR(__xludf.dummyfunction("""COMPUTED_VALUE"""),"Kanha")</f>
        <v>Kanha</v>
      </c>
      <c r="E487" s="16" t="n">
        <f aca="false">IFERROR(__xludf.dummyfunction("""COMPUTED_VALUE"""),43804)</f>
        <v>43804</v>
      </c>
      <c r="F487" s="9" t="n">
        <f aca="false">IFERROR(__xludf.dummyfunction("""COMPUTED_VALUE"""),20000)</f>
        <v>20000</v>
      </c>
      <c r="G487" s="2" t="n">
        <f aca="false">IFERROR(__xludf.dummyfunction("""COMPUTED_VALUE"""),30)</f>
        <v>30</v>
      </c>
      <c r="H487" s="2" t="n">
        <f aca="false">IFERROR(__xludf.dummyfunction("""COMPUTED_VALUE"""),30)</f>
        <v>30</v>
      </c>
      <c r="I487" s="9" t="n">
        <f aca="false">IFERROR(__xludf.dummyfunction("""COMPUTED_VALUE"""),240000)</f>
        <v>240000</v>
      </c>
      <c r="J487" s="9" t="n">
        <f aca="false">IFERROR(__xludf.dummyfunction("""COMPUTED_VALUE"""),95)</f>
        <v>95</v>
      </c>
      <c r="K487" s="9"/>
      <c r="L487" s="9" t="n">
        <f aca="false">IFERROR(__xludf.dummyfunction("""COMPUTED_VALUE"""),0)</f>
        <v>0</v>
      </c>
      <c r="M487" s="9"/>
    </row>
    <row r="488" customFormat="false" ht="15.75" hidden="false" customHeight="false" outlineLevel="0" collapsed="false">
      <c r="A488" s="2" t="str">
        <f aca="false">IFERROR(__xludf.dummyfunction("""COMPUTED_VALUE"""),"SHKJ/KAN/1344")</f>
        <v>SHKJ/KAN/1344</v>
      </c>
      <c r="B488" s="2" t="str">
        <f aca="false">IFERROR(__xludf.dummyfunction("""COMPUTED_VALUE"""),"Swaminath Pandit")</f>
        <v>Swaminath Pandit</v>
      </c>
      <c r="C488" s="2" t="str">
        <f aca="false">IFERROR(__xludf.dummyfunction("""COMPUTED_VALUE"""),"Men &amp; Machines")</f>
        <v>Men &amp; Machines</v>
      </c>
      <c r="D488" s="2" t="str">
        <f aca="false">IFERROR(__xludf.dummyfunction("""COMPUTED_VALUE"""),"Kanha")</f>
        <v>Kanha</v>
      </c>
      <c r="E488" s="16" t="n">
        <f aca="false">IFERROR(__xludf.dummyfunction("""COMPUTED_VALUE"""),43856)</f>
        <v>43856</v>
      </c>
      <c r="F488" s="9" t="n">
        <f aca="false">IFERROR(__xludf.dummyfunction("""COMPUTED_VALUE"""),19000)</f>
        <v>19000</v>
      </c>
      <c r="G488" s="2" t="n">
        <f aca="false">IFERROR(__xludf.dummyfunction("""COMPUTED_VALUE"""),30)</f>
        <v>30</v>
      </c>
      <c r="H488" s="2" t="n">
        <f aca="false">IFERROR(__xludf.dummyfunction("""COMPUTED_VALUE"""),30)</f>
        <v>30</v>
      </c>
      <c r="I488" s="9" t="n">
        <f aca="false">IFERROR(__xludf.dummyfunction("""COMPUTED_VALUE"""),228000)</f>
        <v>228000</v>
      </c>
      <c r="J488" s="9" t="n">
        <f aca="false">IFERROR(__xludf.dummyfunction("""COMPUTED_VALUE"""),158)</f>
        <v>158</v>
      </c>
      <c r="K488" s="9"/>
      <c r="L488" s="9" t="n">
        <f aca="false">IFERROR(__xludf.dummyfunction("""COMPUTED_VALUE"""),0)</f>
        <v>0</v>
      </c>
      <c r="M488" s="9"/>
    </row>
    <row r="489" customFormat="false" ht="15.75" hidden="false" customHeight="false" outlineLevel="0" collapsed="false">
      <c r="A489" s="2" t="str">
        <f aca="false">IFERROR(__xludf.dummyfunction("""COMPUTED_VALUE"""),"SHKJ/KAN/1345")</f>
        <v>SHKJ/KAN/1345</v>
      </c>
      <c r="B489" s="2" t="str">
        <f aca="false">IFERROR(__xludf.dummyfunction("""COMPUTED_VALUE"""),"Bugga Narender")</f>
        <v>Bugga Narender</v>
      </c>
      <c r="C489" s="2" t="str">
        <f aca="false">IFERROR(__xludf.dummyfunction("""COMPUTED_VALUE"""),"Men &amp; Machines")</f>
        <v>Men &amp; Machines</v>
      </c>
      <c r="D489" s="2" t="str">
        <f aca="false">IFERROR(__xludf.dummyfunction("""COMPUTED_VALUE"""),"Kanha")</f>
        <v>Kanha</v>
      </c>
      <c r="E489" s="16" t="n">
        <f aca="false">IFERROR(__xludf.dummyfunction("""COMPUTED_VALUE"""),43856)</f>
        <v>43856</v>
      </c>
      <c r="F489" s="9" t="n">
        <f aca="false">IFERROR(__xludf.dummyfunction("""COMPUTED_VALUE"""),17000)</f>
        <v>17000</v>
      </c>
      <c r="G489" s="2" t="n">
        <f aca="false">IFERROR(__xludf.dummyfunction("""COMPUTED_VALUE"""),30)</f>
        <v>30</v>
      </c>
      <c r="H489" s="2" t="n">
        <f aca="false">IFERROR(__xludf.dummyfunction("""COMPUTED_VALUE"""),30)</f>
        <v>30</v>
      </c>
      <c r="I489" s="9" t="n">
        <f aca="false">IFERROR(__xludf.dummyfunction("""COMPUTED_VALUE"""),204000)</f>
        <v>204000</v>
      </c>
      <c r="J489" s="9" t="n">
        <f aca="false">IFERROR(__xludf.dummyfunction("""COMPUTED_VALUE"""),317)</f>
        <v>317</v>
      </c>
      <c r="K489" s="9"/>
      <c r="L489" s="9" t="n">
        <f aca="false">IFERROR(__xludf.dummyfunction("""COMPUTED_VALUE"""),0)</f>
        <v>0</v>
      </c>
      <c r="M489" s="9"/>
    </row>
    <row r="490" customFormat="false" ht="15.75" hidden="false" customHeight="false" outlineLevel="0" collapsed="false">
      <c r="A490" s="2" t="str">
        <f aca="false">IFERROR(__xludf.dummyfunction("""COMPUTED_VALUE"""),"SHKJ/KAN/1346")</f>
        <v>SHKJ/KAN/1346</v>
      </c>
      <c r="B490" s="2" t="str">
        <f aca="false">IFERROR(__xludf.dummyfunction("""COMPUTED_VALUE"""),"Ganga Mahto")</f>
        <v>Ganga Mahto</v>
      </c>
      <c r="C490" s="2" t="str">
        <f aca="false">IFERROR(__xludf.dummyfunction("""COMPUTED_VALUE"""),"Men &amp; Machines")</f>
        <v>Men &amp; Machines</v>
      </c>
      <c r="D490" s="2" t="str">
        <f aca="false">IFERROR(__xludf.dummyfunction("""COMPUTED_VALUE"""),"Kanha")</f>
        <v>Kanha</v>
      </c>
      <c r="E490" s="16" t="n">
        <f aca="false">IFERROR(__xludf.dummyfunction("""COMPUTED_VALUE"""),43856)</f>
        <v>43856</v>
      </c>
      <c r="F490" s="9" t="n">
        <f aca="false">IFERROR(__xludf.dummyfunction("""COMPUTED_VALUE"""),16500)</f>
        <v>16500</v>
      </c>
      <c r="G490" s="2" t="n">
        <f aca="false">IFERROR(__xludf.dummyfunction("""COMPUTED_VALUE"""),30)</f>
        <v>30</v>
      </c>
      <c r="H490" s="2" t="n">
        <f aca="false">IFERROR(__xludf.dummyfunction("""COMPUTED_VALUE"""),30)</f>
        <v>30</v>
      </c>
      <c r="I490" s="9" t="n">
        <f aca="false">IFERROR(__xludf.dummyfunction("""COMPUTED_VALUE"""),198000)</f>
        <v>198000</v>
      </c>
      <c r="J490" s="9" t="n">
        <f aca="false">IFERROR(__xludf.dummyfunction("""COMPUTED_VALUE"""),221)</f>
        <v>221</v>
      </c>
      <c r="K490" s="9"/>
      <c r="L490" s="9" t="n">
        <f aca="false">IFERROR(__xludf.dummyfunction("""COMPUTED_VALUE"""),0)</f>
        <v>0</v>
      </c>
      <c r="M490" s="9"/>
    </row>
    <row r="491" customFormat="false" ht="15.75" hidden="false" customHeight="false" outlineLevel="0" collapsed="false">
      <c r="A491" s="2" t="str">
        <f aca="false">IFERROR(__xludf.dummyfunction("""COMPUTED_VALUE"""),"SHKJ/KAN/1347")</f>
        <v>SHKJ/KAN/1347</v>
      </c>
      <c r="B491" s="2" t="str">
        <f aca="false">IFERROR(__xludf.dummyfunction("""COMPUTED_VALUE"""),"Kare Teja Kumar")</f>
        <v>Kare Teja Kumar</v>
      </c>
      <c r="C491" s="2" t="str">
        <f aca="false">IFERROR(__xludf.dummyfunction("""COMPUTED_VALUE"""),"Men &amp; Machines")</f>
        <v>Men &amp; Machines</v>
      </c>
      <c r="D491" s="2" t="str">
        <f aca="false">IFERROR(__xludf.dummyfunction("""COMPUTED_VALUE"""),"Kanha")</f>
        <v>Kanha</v>
      </c>
      <c r="E491" s="16" t="n">
        <f aca="false">IFERROR(__xludf.dummyfunction("""COMPUTED_VALUE"""),43856)</f>
        <v>43856</v>
      </c>
      <c r="F491" s="9" t="n">
        <f aca="false">IFERROR(__xludf.dummyfunction("""COMPUTED_VALUE"""),10000)</f>
        <v>10000</v>
      </c>
      <c r="G491" s="2" t="n">
        <f aca="false">IFERROR(__xludf.dummyfunction("""COMPUTED_VALUE"""),30)</f>
        <v>30</v>
      </c>
      <c r="H491" s="2" t="n">
        <f aca="false">IFERROR(__xludf.dummyfunction("""COMPUTED_VALUE"""),30)</f>
        <v>30</v>
      </c>
      <c r="I491" s="9" t="n">
        <f aca="false">IFERROR(__xludf.dummyfunction("""COMPUTED_VALUE"""),120000)</f>
        <v>120000</v>
      </c>
      <c r="J491" s="9" t="n">
        <f aca="false">IFERROR(__xludf.dummyfunction("""COMPUTED_VALUE"""),63)</f>
        <v>63</v>
      </c>
      <c r="K491" s="9"/>
      <c r="L491" s="9" t="n">
        <f aca="false">IFERROR(__xludf.dummyfunction("""COMPUTED_VALUE"""),0)</f>
        <v>0</v>
      </c>
      <c r="M491" s="9"/>
    </row>
    <row r="492" customFormat="false" ht="15.75" hidden="false" customHeight="false" outlineLevel="0" collapsed="false">
      <c r="A492" s="2" t="str">
        <f aca="false">IFERROR(__xludf.dummyfunction("""COMPUTED_VALUE"""),"SHKJ/KAN/1350")</f>
        <v>SHKJ/KAN/1350</v>
      </c>
      <c r="B492" s="2" t="str">
        <f aca="false">IFERROR(__xludf.dummyfunction("""COMPUTED_VALUE"""),"Manoj Baldev Yadav")</f>
        <v>Manoj Baldev Yadav</v>
      </c>
      <c r="C492" s="2" t="str">
        <f aca="false">IFERROR(__xludf.dummyfunction("""COMPUTED_VALUE"""),"Men &amp; Machines")</f>
        <v>Men &amp; Machines</v>
      </c>
      <c r="D492" s="2" t="str">
        <f aca="false">IFERROR(__xludf.dummyfunction("""COMPUTED_VALUE"""),"Kanha")</f>
        <v>Kanha</v>
      </c>
      <c r="E492" s="16" t="n">
        <f aca="false">IFERROR(__xludf.dummyfunction("""COMPUTED_VALUE"""),43856)</f>
        <v>43856</v>
      </c>
      <c r="F492" s="9" t="n">
        <f aca="false">IFERROR(__xludf.dummyfunction("""COMPUTED_VALUE"""),17500)</f>
        <v>17500</v>
      </c>
      <c r="G492" s="2" t="n">
        <f aca="false">IFERROR(__xludf.dummyfunction("""COMPUTED_VALUE"""),30)</f>
        <v>30</v>
      </c>
      <c r="H492" s="2" t="n">
        <f aca="false">IFERROR(__xludf.dummyfunction("""COMPUTED_VALUE"""),30)</f>
        <v>30</v>
      </c>
      <c r="I492" s="9" t="n">
        <f aca="false">IFERROR(__xludf.dummyfunction("""COMPUTED_VALUE"""),210000)</f>
        <v>210000</v>
      </c>
      <c r="J492" s="9" t="n">
        <f aca="false">IFERROR(__xludf.dummyfunction("""COMPUTED_VALUE"""),191)</f>
        <v>191</v>
      </c>
      <c r="K492" s="9"/>
      <c r="L492" s="9" t="n">
        <f aca="false">IFERROR(__xludf.dummyfunction("""COMPUTED_VALUE"""),0)</f>
        <v>0</v>
      </c>
      <c r="M492" s="9"/>
    </row>
    <row r="493" customFormat="false" ht="15.75" hidden="false" customHeight="false" outlineLevel="0" collapsed="false">
      <c r="A493" s="2" t="str">
        <f aca="false">IFERROR(__xludf.dummyfunction("""COMPUTED_VALUE"""),"SHKJ/KAN/1348")</f>
        <v>SHKJ/KAN/1348</v>
      </c>
      <c r="B493" s="2" t="str">
        <f aca="false">IFERROR(__xludf.dummyfunction("""COMPUTED_VALUE"""),"Bandi Kumar")</f>
        <v>Bandi Kumar</v>
      </c>
      <c r="C493" s="2" t="str">
        <f aca="false">IFERROR(__xludf.dummyfunction("""COMPUTED_VALUE"""),"Men &amp; Machines")</f>
        <v>Men &amp; Machines</v>
      </c>
      <c r="D493" s="2" t="str">
        <f aca="false">IFERROR(__xludf.dummyfunction("""COMPUTED_VALUE"""),"Kanha")</f>
        <v>Kanha</v>
      </c>
      <c r="E493" s="16" t="n">
        <f aca="false">IFERROR(__xludf.dummyfunction("""COMPUTED_VALUE"""),43856)</f>
        <v>43856</v>
      </c>
      <c r="F493" s="9" t="n">
        <f aca="false">IFERROR(__xludf.dummyfunction("""COMPUTED_VALUE"""),15000)</f>
        <v>15000</v>
      </c>
      <c r="G493" s="2" t="n">
        <f aca="false">IFERROR(__xludf.dummyfunction("""COMPUTED_VALUE"""),30)</f>
        <v>30</v>
      </c>
      <c r="H493" s="2" t="n">
        <f aca="false">IFERROR(__xludf.dummyfunction("""COMPUTED_VALUE"""),30)</f>
        <v>30</v>
      </c>
      <c r="I493" s="9" t="n">
        <f aca="false">IFERROR(__xludf.dummyfunction("""COMPUTED_VALUE"""),180000)</f>
        <v>180000</v>
      </c>
      <c r="J493" s="9" t="n">
        <f aca="false">IFERROR(__xludf.dummyfunction("""COMPUTED_VALUE"""),63)</f>
        <v>63</v>
      </c>
      <c r="K493" s="9"/>
      <c r="L493" s="9" t="n">
        <f aca="false">IFERROR(__xludf.dummyfunction("""COMPUTED_VALUE"""),0)</f>
        <v>0</v>
      </c>
      <c r="M493" s="9"/>
    </row>
    <row r="494" customFormat="false" ht="15.75" hidden="false" customHeight="false" outlineLevel="0" collapsed="false">
      <c r="A494" s="2" t="str">
        <f aca="false">IFERROR(__xludf.dummyfunction("""COMPUTED_VALUE"""),"SMSF/KAN/0128")</f>
        <v>SMSF/KAN/0128</v>
      </c>
      <c r="B494" s="2" t="str">
        <f aca="false">IFERROR(__xludf.dummyfunction("""COMPUTED_VALUE"""),"Prince  Kumar Yadav")</f>
        <v>Prince  Kumar Yadav</v>
      </c>
      <c r="C494" s="2" t="str">
        <f aca="false">IFERROR(__xludf.dummyfunction("""COMPUTED_VALUE"""),"Tool Room")</f>
        <v>Tool Room</v>
      </c>
      <c r="D494" s="2" t="str">
        <f aca="false">IFERROR(__xludf.dummyfunction("""COMPUTED_VALUE"""),"Kanha")</f>
        <v>Kanha</v>
      </c>
      <c r="E494" s="16" t="n">
        <f aca="false">IFERROR(__xludf.dummyfunction("""COMPUTED_VALUE"""),43791)</f>
        <v>43791</v>
      </c>
      <c r="F494" s="9" t="n">
        <f aca="false">IFERROR(__xludf.dummyfunction("""COMPUTED_VALUE"""),12000)</f>
        <v>12000</v>
      </c>
      <c r="G494" s="2" t="n">
        <f aca="false">IFERROR(__xludf.dummyfunction("""COMPUTED_VALUE"""),30)</f>
        <v>30</v>
      </c>
      <c r="H494" s="2" t="n">
        <f aca="false">IFERROR(__xludf.dummyfunction("""COMPUTED_VALUE"""),30)</f>
        <v>30</v>
      </c>
      <c r="I494" s="9" t="n">
        <f aca="false">IFERROR(__xludf.dummyfunction("""COMPUTED_VALUE"""),144000)</f>
        <v>144000</v>
      </c>
      <c r="J494" s="9" t="n">
        <f aca="false">IFERROR(__xludf.dummyfunction("""COMPUTED_VALUE"""),63)</f>
        <v>63</v>
      </c>
      <c r="K494" s="9"/>
      <c r="L494" s="9" t="n">
        <f aca="false">IFERROR(__xludf.dummyfunction("""COMPUTED_VALUE"""),0)</f>
        <v>0</v>
      </c>
      <c r="M494" s="9"/>
    </row>
    <row r="495" customFormat="false" ht="15.75" hidden="false" customHeight="false" outlineLevel="0" collapsed="false">
      <c r="A495" s="2" t="str">
        <f aca="false">IFERROR(__xludf.dummyfunction("""COMPUTED_VALUE"""),"SHKJ/KAN/1457")</f>
        <v>SHKJ/KAN/1457</v>
      </c>
      <c r="B495" s="2" t="str">
        <f aca="false">IFERROR(__xludf.dummyfunction("""COMPUTED_VALUE"""),"Madhavi Latha B")</f>
        <v>Madhavi Latha B</v>
      </c>
      <c r="C495" s="2" t="str">
        <f aca="false">IFERROR(__xludf.dummyfunction("""COMPUTED_VALUE"""),"Accounts")</f>
        <v>Accounts</v>
      </c>
      <c r="D495" s="2" t="str">
        <f aca="false">IFERROR(__xludf.dummyfunction("""COMPUTED_VALUE"""),"Kanha")</f>
        <v>Kanha</v>
      </c>
      <c r="E495" s="16" t="n">
        <f aca="false">IFERROR(__xludf.dummyfunction("""COMPUTED_VALUE"""),43847)</f>
        <v>43847</v>
      </c>
      <c r="F495" s="9" t="n">
        <f aca="false">IFERROR(__xludf.dummyfunction("""COMPUTED_VALUE"""),8000)</f>
        <v>8000</v>
      </c>
      <c r="G495" s="2" t="n">
        <f aca="false">IFERROR(__xludf.dummyfunction("""COMPUTED_VALUE"""),30)</f>
        <v>30</v>
      </c>
      <c r="H495" s="2" t="n">
        <f aca="false">IFERROR(__xludf.dummyfunction("""COMPUTED_VALUE"""),30)</f>
        <v>30</v>
      </c>
      <c r="I495" s="9" t="n">
        <f aca="false">IFERROR(__xludf.dummyfunction("""COMPUTED_VALUE"""),96000)</f>
        <v>96000</v>
      </c>
      <c r="J495" s="9" t="n">
        <f aca="false">IFERROR(__xludf.dummyfunction("""COMPUTED_VALUE"""),95)</f>
        <v>95</v>
      </c>
      <c r="K495" s="9"/>
      <c r="L495" s="9" t="n">
        <f aca="false">IFERROR(__xludf.dummyfunction("""COMPUTED_VALUE"""),0)</f>
        <v>0</v>
      </c>
      <c r="M495" s="9"/>
    </row>
    <row r="496" customFormat="false" ht="15.75" hidden="false" customHeight="false" outlineLevel="0" collapsed="false">
      <c r="A496" s="2" t="str">
        <f aca="false">IFERROR(__xludf.dummyfunction("""COMPUTED_VALUE"""),"SMSF/KAN/0836")</f>
        <v>SMSF/KAN/0836</v>
      </c>
      <c r="B496" s="2" t="str">
        <f aca="false">IFERROR(__xludf.dummyfunction("""COMPUTED_VALUE"""),"Siddhant Janardan Gode")</f>
        <v>Siddhant Janardan Gode</v>
      </c>
      <c r="C496" s="2" t="str">
        <f aca="false">IFERROR(__xludf.dummyfunction("""COMPUTED_VALUE"""),"Accounts")</f>
        <v>Accounts</v>
      </c>
      <c r="D496" s="2" t="str">
        <f aca="false">IFERROR(__xludf.dummyfunction("""COMPUTED_VALUE"""),"Kanha")</f>
        <v>Kanha</v>
      </c>
      <c r="E496" s="16" t="n">
        <f aca="false">IFERROR(__xludf.dummyfunction("""COMPUTED_VALUE"""),43349)</f>
        <v>43349</v>
      </c>
      <c r="F496" s="9" t="n">
        <f aca="false">IFERROR(__xludf.dummyfunction("""COMPUTED_VALUE"""),20000)</f>
        <v>20000</v>
      </c>
      <c r="G496" s="2" t="n">
        <f aca="false">IFERROR(__xludf.dummyfunction("""COMPUTED_VALUE"""),30)</f>
        <v>30</v>
      </c>
      <c r="H496" s="2" t="n">
        <f aca="false">IFERROR(__xludf.dummyfunction("""COMPUTED_VALUE"""),30)</f>
        <v>30</v>
      </c>
      <c r="I496" s="9" t="n">
        <f aca="false">IFERROR(__xludf.dummyfunction("""COMPUTED_VALUE"""),240000)</f>
        <v>240000</v>
      </c>
      <c r="J496" s="9" t="n">
        <f aca="false">IFERROR(__xludf.dummyfunction("""COMPUTED_VALUE"""),92)</f>
        <v>92</v>
      </c>
      <c r="K496" s="9"/>
      <c r="L496" s="9" t="n">
        <f aca="false">IFERROR(__xludf.dummyfunction("""COMPUTED_VALUE"""),0)</f>
        <v>0</v>
      </c>
      <c r="M496" s="9"/>
    </row>
    <row r="497" customFormat="false" ht="15.75" hidden="false" customHeight="false" outlineLevel="0" collapsed="false">
      <c r="A497" s="2" t="str">
        <f aca="false">IFERROR(__xludf.dummyfunction("""COMPUTED_VALUE"""),"SMSF/KAN/0122")</f>
        <v>SMSF/KAN/0122</v>
      </c>
      <c r="B497" s="2" t="str">
        <f aca="false">IFERROR(__xludf.dummyfunction("""COMPUTED_VALUE"""),"K SAKTHI PRAKASH")</f>
        <v>K SAKTHI PRAKASH</v>
      </c>
      <c r="C497" s="2" t="str">
        <f aca="false">IFERROR(__xludf.dummyfunction("""COMPUTED_VALUE"""),"Accounts")</f>
        <v>Accounts</v>
      </c>
      <c r="D497" s="2" t="str">
        <f aca="false">IFERROR(__xludf.dummyfunction("""COMPUTED_VALUE"""),"Kanha")</f>
        <v>Kanha</v>
      </c>
      <c r="E497" s="16" t="n">
        <f aca="false">IFERROR(__xludf.dummyfunction("""COMPUTED_VALUE"""),42826)</f>
        <v>42826</v>
      </c>
      <c r="F497" s="9" t="n">
        <f aca="false">IFERROR(__xludf.dummyfunction("""COMPUTED_VALUE"""),11825)</f>
        <v>11825</v>
      </c>
      <c r="G497" s="2" t="n">
        <f aca="false">IFERROR(__xludf.dummyfunction("""COMPUTED_VALUE"""),30)</f>
        <v>30</v>
      </c>
      <c r="H497" s="2" t="n">
        <f aca="false">IFERROR(__xludf.dummyfunction("""COMPUTED_VALUE"""),30)</f>
        <v>30</v>
      </c>
      <c r="I497" s="9" t="n">
        <f aca="false">IFERROR(__xludf.dummyfunction("""COMPUTED_VALUE"""),141900)</f>
        <v>141900</v>
      </c>
      <c r="J497" s="9" t="n">
        <f aca="false">IFERROR(__xludf.dummyfunction("""COMPUTED_VALUE"""),92)</f>
        <v>92</v>
      </c>
      <c r="K497" s="9"/>
      <c r="L497" s="9" t="n">
        <f aca="false">IFERROR(__xludf.dummyfunction("""COMPUTED_VALUE"""),0)</f>
        <v>0</v>
      </c>
      <c r="M497" s="9"/>
    </row>
    <row r="498" customFormat="false" ht="15.75" hidden="false" customHeight="false" outlineLevel="0" collapsed="false">
      <c r="A498" s="2" t="str">
        <f aca="false">IFERROR(__xludf.dummyfunction("""COMPUTED_VALUE"""),"SMSF/KAN/0462")</f>
        <v>SMSF/KAN/0462</v>
      </c>
      <c r="B498" s="2" t="str">
        <f aca="false">IFERROR(__xludf.dummyfunction("""COMPUTED_VALUE"""),"Nunna Nandakumar")</f>
        <v>Nunna Nandakumar</v>
      </c>
      <c r="C498" s="2" t="str">
        <f aca="false">IFERROR(__xludf.dummyfunction("""COMPUTED_VALUE"""),"Purchase")</f>
        <v>Purchase</v>
      </c>
      <c r="D498" s="2" t="str">
        <f aca="false">IFERROR(__xludf.dummyfunction("""COMPUTED_VALUE"""),"Kanha")</f>
        <v>Kanha</v>
      </c>
      <c r="E498" s="16" t="n">
        <f aca="false">IFERROR(__xludf.dummyfunction("""COMPUTED_VALUE"""),43132)</f>
        <v>43132</v>
      </c>
      <c r="F498" s="9" t="n">
        <f aca="false">IFERROR(__xludf.dummyfunction("""COMPUTED_VALUE"""),20000)</f>
        <v>20000</v>
      </c>
      <c r="G498" s="2" t="n">
        <f aca="false">IFERROR(__xludf.dummyfunction("""COMPUTED_VALUE"""),30)</f>
        <v>30</v>
      </c>
      <c r="H498" s="2" t="n">
        <f aca="false">IFERROR(__xludf.dummyfunction("""COMPUTED_VALUE"""),30)</f>
        <v>30</v>
      </c>
      <c r="I498" s="9" t="n">
        <f aca="false">IFERROR(__xludf.dummyfunction("""COMPUTED_VALUE"""),240000)</f>
        <v>240000</v>
      </c>
      <c r="J498" s="9" t="n">
        <f aca="false">IFERROR(__xludf.dummyfunction("""COMPUTED_VALUE"""),92)</f>
        <v>92</v>
      </c>
      <c r="K498" s="9"/>
      <c r="L498" s="9" t="n">
        <f aca="false">IFERROR(__xludf.dummyfunction("""COMPUTED_VALUE"""),0)</f>
        <v>0</v>
      </c>
      <c r="M498" s="9"/>
    </row>
    <row r="499" customFormat="false" ht="15.75" hidden="false" customHeight="false" outlineLevel="0" collapsed="false">
      <c r="A499" s="2" t="str">
        <f aca="false">IFERROR(__xludf.dummyfunction("""COMPUTED_VALUE"""),"SMSF/KAN/0889")</f>
        <v>SMSF/KAN/0889</v>
      </c>
      <c r="B499" s="2" t="str">
        <f aca="false">IFERROR(__xludf.dummyfunction("""COMPUTED_VALUE"""),"Karthik S")</f>
        <v>Karthik S</v>
      </c>
      <c r="C499" s="2" t="str">
        <f aca="false">IFERROR(__xludf.dummyfunction("""COMPUTED_VALUE"""),"Purchase")</f>
        <v>Purchase</v>
      </c>
      <c r="D499" s="2" t="str">
        <f aca="false">IFERROR(__xludf.dummyfunction("""COMPUTED_VALUE"""),"Kanha")</f>
        <v>Kanha</v>
      </c>
      <c r="E499" s="16" t="n">
        <f aca="false">IFERROR(__xludf.dummyfunction("""COMPUTED_VALUE"""),43399)</f>
        <v>43399</v>
      </c>
      <c r="F499" s="9" t="n">
        <f aca="false">IFERROR(__xludf.dummyfunction("""COMPUTED_VALUE"""),16500)</f>
        <v>16500</v>
      </c>
      <c r="G499" s="2" t="n">
        <f aca="false">IFERROR(__xludf.dummyfunction("""COMPUTED_VALUE"""),30)</f>
        <v>30</v>
      </c>
      <c r="H499" s="2" t="n">
        <f aca="false">IFERROR(__xludf.dummyfunction("""COMPUTED_VALUE"""),30)</f>
        <v>30</v>
      </c>
      <c r="I499" s="9" t="n">
        <f aca="false">IFERROR(__xludf.dummyfunction("""COMPUTED_VALUE"""),198000)</f>
        <v>198000</v>
      </c>
      <c r="J499" s="9" t="n">
        <f aca="false">IFERROR(__xludf.dummyfunction("""COMPUTED_VALUE"""),92)</f>
        <v>92</v>
      </c>
      <c r="K499" s="9"/>
      <c r="L499" s="9" t="n">
        <f aca="false">IFERROR(__xludf.dummyfunction("""COMPUTED_VALUE"""),0)</f>
        <v>0</v>
      </c>
      <c r="M499" s="9"/>
    </row>
    <row r="500" customFormat="false" ht="15.75" hidden="false" customHeight="false" outlineLevel="0" collapsed="false">
      <c r="A500" s="2" t="str">
        <f aca="false">IFERROR(__xludf.dummyfunction("""COMPUTED_VALUE"""),"SMSF/KAN/1085")</f>
        <v>SMSF/KAN/1085</v>
      </c>
      <c r="B500" s="2" t="str">
        <f aca="false">IFERROR(__xludf.dummyfunction("""COMPUTED_VALUE"""),"Bavithran Thamaraiselven")</f>
        <v>Bavithran Thamaraiselven</v>
      </c>
      <c r="C500" s="2" t="str">
        <f aca="false">IFERROR(__xludf.dummyfunction("""COMPUTED_VALUE"""),"Purchase")</f>
        <v>Purchase</v>
      </c>
      <c r="D500" s="2" t="str">
        <f aca="false">IFERROR(__xludf.dummyfunction("""COMPUTED_VALUE"""),"Kanha")</f>
        <v>Kanha</v>
      </c>
      <c r="E500" s="16" t="n">
        <f aca="false">IFERROR(__xludf.dummyfunction("""COMPUTED_VALUE"""),43550)</f>
        <v>43550</v>
      </c>
      <c r="F500" s="9" t="n">
        <f aca="false">IFERROR(__xludf.dummyfunction("""COMPUTED_VALUE"""),15000)</f>
        <v>15000</v>
      </c>
      <c r="G500" s="2" t="n">
        <f aca="false">IFERROR(__xludf.dummyfunction("""COMPUTED_VALUE"""),30)</f>
        <v>30</v>
      </c>
      <c r="H500" s="2" t="n">
        <f aca="false">IFERROR(__xludf.dummyfunction("""COMPUTED_VALUE"""),30)</f>
        <v>30</v>
      </c>
      <c r="I500" s="9" t="n">
        <f aca="false">IFERROR(__xludf.dummyfunction("""COMPUTED_VALUE"""),180000)</f>
        <v>180000</v>
      </c>
      <c r="J500" s="9" t="n">
        <f aca="false">IFERROR(__xludf.dummyfunction("""COMPUTED_VALUE"""),61)</f>
        <v>61</v>
      </c>
      <c r="K500" s="9"/>
      <c r="L500" s="9" t="n">
        <f aca="false">IFERROR(__xludf.dummyfunction("""COMPUTED_VALUE"""),0)</f>
        <v>0</v>
      </c>
      <c r="M500" s="9"/>
    </row>
    <row r="501" customFormat="false" ht="15.75" hidden="false" customHeight="false" outlineLevel="0" collapsed="false">
      <c r="A501" s="2" t="str">
        <f aca="false">IFERROR(__xludf.dummyfunction("""COMPUTED_VALUE"""),"SMSF/KAN/0910")</f>
        <v>SMSF/KAN/0910</v>
      </c>
      <c r="B501" s="2" t="str">
        <f aca="false">IFERROR(__xludf.dummyfunction("""COMPUTED_VALUE"""),"Dakka Jayasree")</f>
        <v>Dakka Jayasree</v>
      </c>
      <c r="C501" s="2" t="str">
        <f aca="false">IFERROR(__xludf.dummyfunction("""COMPUTED_VALUE"""),"IT ")</f>
        <v>IT </v>
      </c>
      <c r="D501" s="2" t="str">
        <f aca="false">IFERROR(__xludf.dummyfunction("""COMPUTED_VALUE"""),"Kanha")</f>
        <v>Kanha</v>
      </c>
      <c r="E501" s="16" t="n">
        <f aca="false">IFERROR(__xludf.dummyfunction("""COMPUTED_VALUE"""),43467)</f>
        <v>43467</v>
      </c>
      <c r="F501" s="9" t="n">
        <f aca="false">IFERROR(__xludf.dummyfunction("""COMPUTED_VALUE"""),25000)</f>
        <v>25000</v>
      </c>
      <c r="G501" s="2" t="n">
        <f aca="false">IFERROR(__xludf.dummyfunction("""COMPUTED_VALUE"""),30)</f>
        <v>30</v>
      </c>
      <c r="H501" s="2" t="n">
        <f aca="false">IFERROR(__xludf.dummyfunction("""COMPUTED_VALUE"""),30)</f>
        <v>30</v>
      </c>
      <c r="I501" s="9" t="n">
        <f aca="false">IFERROR(__xludf.dummyfunction("""COMPUTED_VALUE"""),300000)</f>
        <v>300000</v>
      </c>
      <c r="J501" s="9" t="n">
        <f aca="false">IFERROR(__xludf.dummyfunction("""COMPUTED_VALUE"""),191)</f>
        <v>191</v>
      </c>
      <c r="K501" s="9"/>
      <c r="L501" s="9" t="n">
        <f aca="false">IFERROR(__xludf.dummyfunction("""COMPUTED_VALUE"""),0)</f>
        <v>0</v>
      </c>
      <c r="M501" s="9"/>
    </row>
    <row r="502" customFormat="false" ht="15.75" hidden="false" customHeight="false" outlineLevel="0" collapsed="false">
      <c r="A502" s="2" t="str">
        <f aca="false">IFERROR(__xludf.dummyfunction("""COMPUTED_VALUE"""),"SHKJ/KAN/1515")</f>
        <v>SHKJ/KAN/1515</v>
      </c>
      <c r="B502" s="2" t="str">
        <f aca="false">IFERROR(__xludf.dummyfunction("""COMPUTED_VALUE"""),"K R Kumaresan")</f>
        <v>K R Kumaresan</v>
      </c>
      <c r="C502" s="2" t="str">
        <f aca="false">IFERROR(__xludf.dummyfunction("""COMPUTED_VALUE"""),"Accounts")</f>
        <v>Accounts</v>
      </c>
      <c r="D502" s="2" t="str">
        <f aca="false">IFERROR(__xludf.dummyfunction("""COMPUTED_VALUE"""),"Kanha")</f>
        <v>Kanha</v>
      </c>
      <c r="E502" s="16" t="n">
        <f aca="false">IFERROR(__xludf.dummyfunction("""COMPUTED_VALUE"""),44029)</f>
        <v>44029</v>
      </c>
      <c r="F502" s="9" t="n">
        <f aca="false">IFERROR(__xludf.dummyfunction("""COMPUTED_VALUE"""),39720)</f>
        <v>39720</v>
      </c>
      <c r="G502" s="2" t="n">
        <f aca="false">IFERROR(__xludf.dummyfunction("""COMPUTED_VALUE"""),30)</f>
        <v>30</v>
      </c>
      <c r="H502" s="2" t="n">
        <f aca="false">IFERROR(__xludf.dummyfunction("""COMPUTED_VALUE"""),30)</f>
        <v>30</v>
      </c>
      <c r="I502" s="9" t="n">
        <f aca="false">IFERROR(__xludf.dummyfunction("""COMPUTED_VALUE"""),476640)</f>
        <v>476640</v>
      </c>
      <c r="J502" s="9" t="n">
        <f aca="false">IFERROR(__xludf.dummyfunction("""COMPUTED_VALUE"""),280)</f>
        <v>280</v>
      </c>
      <c r="K502" s="9"/>
      <c r="L502" s="9" t="n">
        <f aca="false">IFERROR(__xludf.dummyfunction("""COMPUTED_VALUE"""),0)</f>
        <v>0</v>
      </c>
      <c r="M502" s="9"/>
    </row>
    <row r="503" customFormat="false" ht="15.75" hidden="false" customHeight="false" outlineLevel="0" collapsed="false">
      <c r="A503" s="2" t="str">
        <f aca="false">IFERROR(__xludf.dummyfunction("""COMPUTED_VALUE"""),"SRCM/BMA/0013")</f>
        <v>SRCM/BMA/0013</v>
      </c>
      <c r="B503" s="2" t="str">
        <f aca="false">IFERROR(__xludf.dummyfunction("""COMPUTED_VALUE"""),"K CHELLADURAI")</f>
        <v>K CHELLADURAI</v>
      </c>
      <c r="C503" s="2" t="str">
        <f aca="false">IFERROR(__xludf.dummyfunction("""COMPUTED_VALUE"""),"SRCM-NURSERY")</f>
        <v>SRCM-NURSERY</v>
      </c>
      <c r="D503" s="2" t="str">
        <f aca="false">IFERROR(__xludf.dummyfunction("""COMPUTED_VALUE"""),"BMA")</f>
        <v>BMA</v>
      </c>
      <c r="E503" s="16" t="n">
        <f aca="false">IFERROR(__xludf.dummyfunction("""COMPUTED_VALUE"""),42524)</f>
        <v>42524</v>
      </c>
      <c r="F503" s="9" t="n">
        <f aca="false">IFERROR(__xludf.dummyfunction("""COMPUTED_VALUE"""),11471)</f>
        <v>11471</v>
      </c>
      <c r="G503" s="2" t="n">
        <f aca="false">IFERROR(__xludf.dummyfunction("""COMPUTED_VALUE"""),30)</f>
        <v>30</v>
      </c>
      <c r="H503" s="2" t="n">
        <f aca="false">IFERROR(__xludf.dummyfunction("""COMPUTED_VALUE"""),30)</f>
        <v>30</v>
      </c>
      <c r="I503" s="9" t="n">
        <f aca="false">IFERROR(__xludf.dummyfunction("""COMPUTED_VALUE"""),113652)</f>
        <v>113652</v>
      </c>
      <c r="J503" s="9" t="n">
        <f aca="false">IFERROR(__xludf.dummyfunction("""COMPUTED_VALUE"""),329)</f>
        <v>329</v>
      </c>
      <c r="K503" s="9"/>
      <c r="L503" s="9" t="n">
        <f aca="false">IFERROR(__xludf.dummyfunction("""COMPUTED_VALUE"""),2000)</f>
        <v>2000</v>
      </c>
      <c r="M503" s="9"/>
    </row>
    <row r="504" customFormat="false" ht="15.75" hidden="false" customHeight="false" outlineLevel="0" collapsed="false">
      <c r="A504" s="2" t="str">
        <f aca="false">IFERROR(__xludf.dummyfunction("""COMPUTED_VALUE"""),"SRCM/BMA/0030")</f>
        <v>SRCM/BMA/0030</v>
      </c>
      <c r="B504" s="2" t="str">
        <f aca="false">IFERROR(__xludf.dummyfunction("""COMPUTED_VALUE"""),"P JAGADEESAN")</f>
        <v>P JAGADEESAN</v>
      </c>
      <c r="C504" s="2" t="str">
        <f aca="false">IFERROR(__xludf.dummyfunction("""COMPUTED_VALUE"""),"SRCM-NURSERY")</f>
        <v>SRCM-NURSERY</v>
      </c>
      <c r="D504" s="2" t="str">
        <f aca="false">IFERROR(__xludf.dummyfunction("""COMPUTED_VALUE"""),"BMA")</f>
        <v>BMA</v>
      </c>
      <c r="E504" s="16" t="n">
        <f aca="false">IFERROR(__xludf.dummyfunction("""COMPUTED_VALUE"""),42205)</f>
        <v>42205</v>
      </c>
      <c r="F504" s="9" t="n">
        <f aca="false">IFERROR(__xludf.dummyfunction("""COMPUTED_VALUE"""),13782)</f>
        <v>13782</v>
      </c>
      <c r="G504" s="2" t="n">
        <f aca="false">IFERROR(__xludf.dummyfunction("""COMPUTED_VALUE"""),30)</f>
        <v>30</v>
      </c>
      <c r="H504" s="2" t="n">
        <f aca="false">IFERROR(__xludf.dummyfunction("""COMPUTED_VALUE"""),30)</f>
        <v>30</v>
      </c>
      <c r="I504" s="9" t="n">
        <f aca="false">IFERROR(__xludf.dummyfunction("""COMPUTED_VALUE"""),113652)</f>
        <v>113652</v>
      </c>
      <c r="J504" s="9" t="n">
        <f aca="false">IFERROR(__xludf.dummyfunction("""COMPUTED_VALUE"""),544)</f>
        <v>544</v>
      </c>
      <c r="K504" s="9"/>
      <c r="L504" s="9" t="n">
        <f aca="false">IFERROR(__xludf.dummyfunction("""COMPUTED_VALUE"""),2000)</f>
        <v>2000</v>
      </c>
      <c r="M504" s="9"/>
    </row>
    <row r="505" customFormat="false" ht="15.75" hidden="false" customHeight="false" outlineLevel="0" collapsed="false">
      <c r="A505" s="2" t="str">
        <f aca="false">IFERROR(__xludf.dummyfunction("""COMPUTED_VALUE"""),"SRCM/BMA/0241")</f>
        <v>SRCM/BMA/0241</v>
      </c>
      <c r="B505" s="2" t="str">
        <f aca="false">IFERROR(__xludf.dummyfunction("""COMPUTED_VALUE"""),"MUKESH BAHADUR SHAHI")</f>
        <v>MUKESH BAHADUR SHAHI</v>
      </c>
      <c r="C505" s="2" t="str">
        <f aca="false">IFERROR(__xludf.dummyfunction("""COMPUTED_VALUE"""),"SRCM-SECURITY")</f>
        <v>SRCM-SECURITY</v>
      </c>
      <c r="D505" s="2" t="str">
        <f aca="false">IFERROR(__xludf.dummyfunction("""COMPUTED_VALUE"""),"BMA")</f>
        <v>BMA</v>
      </c>
      <c r="E505" s="16" t="n">
        <f aca="false">IFERROR(__xludf.dummyfunction("""COMPUTED_VALUE"""),42116)</f>
        <v>42116</v>
      </c>
      <c r="F505" s="9" t="n">
        <f aca="false">IFERROR(__xludf.dummyfunction("""COMPUTED_VALUE"""),9632)</f>
        <v>9632</v>
      </c>
      <c r="G505" s="2" t="n">
        <f aca="false">IFERROR(__xludf.dummyfunction("""COMPUTED_VALUE"""),30)</f>
        <v>30</v>
      </c>
      <c r="H505" s="2" t="n">
        <f aca="false">IFERROR(__xludf.dummyfunction("""COMPUTED_VALUE"""),30)</f>
        <v>30</v>
      </c>
      <c r="I505" s="9" t="n">
        <f aca="false">IFERROR(__xludf.dummyfunction("""COMPUTED_VALUE"""),141384)</f>
        <v>141384</v>
      </c>
      <c r="J505" s="9" t="n">
        <f aca="false">IFERROR(__xludf.dummyfunction("""COMPUTED_VALUE"""),458)</f>
        <v>458</v>
      </c>
      <c r="K505" s="9"/>
      <c r="L505" s="9" t="n">
        <f aca="false">IFERROR(__xludf.dummyfunction("""COMPUTED_VALUE"""),2000)</f>
        <v>2000</v>
      </c>
      <c r="M505" s="9"/>
    </row>
    <row r="506" customFormat="false" ht="15.75" hidden="false" customHeight="false" outlineLevel="0" collapsed="false">
      <c r="A506" s="2" t="str">
        <f aca="false">IFERROR(__xludf.dummyfunction("""COMPUTED_VALUE"""),"SRCM/BMA/0242")</f>
        <v>SRCM/BMA/0242</v>
      </c>
      <c r="B506" s="2" t="str">
        <f aca="false">IFERROR(__xludf.dummyfunction("""COMPUTED_VALUE"""),"P NANDAGOPI")</f>
        <v>P NANDAGOPI</v>
      </c>
      <c r="C506" s="2" t="str">
        <f aca="false">IFERROR(__xludf.dummyfunction("""COMPUTED_VALUE"""),"SRCM-SECURITY")</f>
        <v>SRCM-SECURITY</v>
      </c>
      <c r="D506" s="2" t="str">
        <f aca="false">IFERROR(__xludf.dummyfunction("""COMPUTED_VALUE"""),"BMA")</f>
        <v>BMA</v>
      </c>
      <c r="E506" s="16" t="n">
        <f aca="false">IFERROR(__xludf.dummyfunction("""COMPUTED_VALUE"""),42043)</f>
        <v>42043</v>
      </c>
      <c r="F506" s="9" t="n">
        <f aca="false">IFERROR(__xludf.dummyfunction("""COMPUTED_VALUE"""),11652)</f>
        <v>11652</v>
      </c>
      <c r="G506" s="2" t="n">
        <f aca="false">IFERROR(__xludf.dummyfunction("""COMPUTED_VALUE"""),30)</f>
        <v>30</v>
      </c>
      <c r="H506" s="2" t="n">
        <f aca="false">IFERROR(__xludf.dummyfunction("""COMPUTED_VALUE"""),30)</f>
        <v>30</v>
      </c>
      <c r="I506" s="9" t="n">
        <f aca="false">IFERROR(__xludf.dummyfunction("""COMPUTED_VALUE"""),91584)</f>
        <v>91584</v>
      </c>
      <c r="J506" s="9" t="n">
        <f aca="false">IFERROR(__xludf.dummyfunction("""COMPUTED_VALUE"""),458)</f>
        <v>458</v>
      </c>
      <c r="K506" s="9"/>
      <c r="L506" s="9" t="n">
        <f aca="false">IFERROR(__xludf.dummyfunction("""COMPUTED_VALUE"""),2000)</f>
        <v>2000</v>
      </c>
      <c r="M506" s="9"/>
    </row>
    <row r="507" customFormat="false" ht="15.75" hidden="false" customHeight="false" outlineLevel="0" collapsed="false">
      <c r="A507" s="2" t="str">
        <f aca="false">IFERROR(__xludf.dummyfunction("""COMPUTED_VALUE"""),"SRCM/BMA/0305")</f>
        <v>SRCM/BMA/0305</v>
      </c>
      <c r="B507" s="2" t="str">
        <f aca="false">IFERROR(__xludf.dummyfunction("""COMPUTED_VALUE"""),"YOGENDRA BAHADUR")</f>
        <v>YOGENDRA BAHADUR</v>
      </c>
      <c r="C507" s="2" t="str">
        <f aca="false">IFERROR(__xludf.dummyfunction("""COMPUTED_VALUE"""),"SRCM-SECURITY")</f>
        <v>SRCM-SECURITY</v>
      </c>
      <c r="D507" s="2" t="str">
        <f aca="false">IFERROR(__xludf.dummyfunction("""COMPUTED_VALUE"""),"BMA")</f>
        <v>BMA</v>
      </c>
      <c r="E507" s="16" t="n">
        <f aca="false">IFERROR(__xludf.dummyfunction("""COMPUTED_VALUE"""),42618)</f>
        <v>42618</v>
      </c>
      <c r="F507" s="9" t="n">
        <f aca="false">IFERROR(__xludf.dummyfunction("""COMPUTED_VALUE"""),9197)</f>
        <v>9197</v>
      </c>
      <c r="G507" s="2" t="n">
        <f aca="false">IFERROR(__xludf.dummyfunction("""COMPUTED_VALUE"""),30)</f>
        <v>30</v>
      </c>
      <c r="H507" s="2" t="n">
        <f aca="false">IFERROR(__xludf.dummyfunction("""COMPUTED_VALUE"""),30)</f>
        <v>30</v>
      </c>
      <c r="I507" s="9" t="n">
        <f aca="false">IFERROR(__xludf.dummyfunction("""COMPUTED_VALUE"""),115824)</f>
        <v>115824</v>
      </c>
      <c r="J507" s="9" t="n">
        <f aca="false">IFERROR(__xludf.dummyfunction("""COMPUTED_VALUE"""),302)</f>
        <v>302</v>
      </c>
      <c r="K507" s="9"/>
      <c r="L507" s="9" t="n">
        <f aca="false">IFERROR(__xludf.dummyfunction("""COMPUTED_VALUE"""),2000)</f>
        <v>2000</v>
      </c>
      <c r="M507" s="9"/>
    </row>
    <row r="508" customFormat="false" ht="15.75" hidden="false" customHeight="false" outlineLevel="0" collapsed="false">
      <c r="A508" s="2" t="str">
        <f aca="false">IFERROR(__xludf.dummyfunction("""COMPUTED_VALUE"""),"SRCM/BMA/0006")</f>
        <v>SRCM/BMA/0006</v>
      </c>
      <c r="B508" s="2" t="str">
        <f aca="false">IFERROR(__xludf.dummyfunction("""COMPUTED_VALUE"""),"C AMUTHA")</f>
        <v>C AMUTHA</v>
      </c>
      <c r="C508" s="2" t="str">
        <f aca="false">IFERROR(__xludf.dummyfunction("""COMPUTED_VALUE"""),"SRCM-NURSERY")</f>
        <v>SRCM-NURSERY</v>
      </c>
      <c r="D508" s="2" t="str">
        <f aca="false">IFERROR(__xludf.dummyfunction("""COMPUTED_VALUE"""),"BMA")</f>
        <v>BMA</v>
      </c>
      <c r="E508" s="16" t="n">
        <f aca="false">IFERROR(__xludf.dummyfunction("""COMPUTED_VALUE"""),42509)</f>
        <v>42509</v>
      </c>
      <c r="F508" s="9" t="n">
        <f aca="false">IFERROR(__xludf.dummyfunction("""COMPUTED_VALUE"""),6207)</f>
        <v>6207</v>
      </c>
      <c r="G508" s="2" t="n">
        <f aca="false">IFERROR(__xludf.dummyfunction("""COMPUTED_VALUE"""),30)</f>
        <v>30</v>
      </c>
      <c r="H508" s="2" t="n">
        <f aca="false">IFERROR(__xludf.dummyfunction("""COMPUTED_VALUE"""),30)</f>
        <v>30</v>
      </c>
      <c r="I508" s="9" t="n">
        <f aca="false">IFERROR(__xludf.dummyfunction("""COMPUTED_VALUE"""),86364)</f>
        <v>86364</v>
      </c>
      <c r="J508" s="9" t="n">
        <f aca="false">IFERROR(__xludf.dummyfunction("""COMPUTED_VALUE"""),0)</f>
        <v>0</v>
      </c>
      <c r="K508" s="9"/>
      <c r="L508" s="9" t="n">
        <f aca="false">IFERROR(__xludf.dummyfunction("""COMPUTED_VALUE"""),2000)</f>
        <v>2000</v>
      </c>
      <c r="M508" s="9"/>
    </row>
    <row r="509" customFormat="false" ht="15.75" hidden="false" customHeight="false" outlineLevel="0" collapsed="false">
      <c r="A509" s="2" t="str">
        <f aca="false">IFERROR(__xludf.dummyfunction("""COMPUTED_VALUE"""),"SRCM/BMA/0043")</f>
        <v>SRCM/BMA/0043</v>
      </c>
      <c r="B509" s="2" t="str">
        <f aca="false">IFERROR(__xludf.dummyfunction("""COMPUTED_VALUE"""),"KUMARA KRISHNAN")</f>
        <v>KUMARA KRISHNAN</v>
      </c>
      <c r="C509" s="2" t="str">
        <f aca="false">IFERROR(__xludf.dummyfunction("""COMPUTED_VALUE"""),"SRCM-SECURITY")</f>
        <v>SRCM-SECURITY</v>
      </c>
      <c r="D509" s="2" t="str">
        <f aca="false">IFERROR(__xludf.dummyfunction("""COMPUTED_VALUE"""),"BMA")</f>
        <v>BMA</v>
      </c>
      <c r="E509" s="16" t="n">
        <f aca="false">IFERROR(__xludf.dummyfunction("""COMPUTED_VALUE"""),42435)</f>
        <v>42435</v>
      </c>
      <c r="F509" s="9" t="n">
        <f aca="false">IFERROR(__xludf.dummyfunction("""COMPUTED_VALUE"""),8590)</f>
        <v>8590</v>
      </c>
      <c r="G509" s="2" t="n">
        <f aca="false">IFERROR(__xludf.dummyfunction("""COMPUTED_VALUE"""),30)</f>
        <v>30</v>
      </c>
      <c r="H509" s="2" t="n">
        <f aca="false">IFERROR(__xludf.dummyfunction("""COMPUTED_VALUE"""),30)</f>
        <v>30</v>
      </c>
      <c r="I509" s="9" t="n">
        <f aca="false">IFERROR(__xludf.dummyfunction("""COMPUTED_VALUE"""),50484)</f>
        <v>50484</v>
      </c>
      <c r="J509" s="9" t="n">
        <f aca="false">IFERROR(__xludf.dummyfunction("""COMPUTED_VALUE"""),431)</f>
        <v>431</v>
      </c>
      <c r="K509" s="9"/>
      <c r="L509" s="9" t="n">
        <f aca="false">IFERROR(__xludf.dummyfunction("""COMPUTED_VALUE"""),2000)</f>
        <v>2000</v>
      </c>
      <c r="M509" s="9"/>
    </row>
    <row r="510" customFormat="false" ht="15.75" hidden="false" customHeight="false" outlineLevel="0" collapsed="false">
      <c r="A510" s="2" t="str">
        <f aca="false">IFERROR(__xludf.dummyfunction("""COMPUTED_VALUE"""),"SRCM/BMA/0028")</f>
        <v>SRCM/BMA/0028</v>
      </c>
      <c r="B510" s="2" t="str">
        <f aca="false">IFERROR(__xludf.dummyfunction("""COMPUTED_VALUE"""),"GOPINATH")</f>
        <v>GOPINATH</v>
      </c>
      <c r="C510" s="2" t="str">
        <f aca="false">IFERROR(__xludf.dummyfunction("""COMPUTED_VALUE"""),"SRCM-SECURITY")</f>
        <v>SRCM-SECURITY</v>
      </c>
      <c r="D510" s="2" t="str">
        <f aca="false">IFERROR(__xludf.dummyfunction("""COMPUTED_VALUE"""),"BMA")</f>
        <v>BMA</v>
      </c>
      <c r="E510" s="16" t="n">
        <f aca="false">IFERROR(__xludf.dummyfunction("""COMPUTED_VALUE"""),42649)</f>
        <v>42649</v>
      </c>
      <c r="F510" s="9" t="n">
        <f aca="false">IFERROR(__xludf.dummyfunction("""COMPUTED_VALUE"""),10878)</f>
        <v>10878</v>
      </c>
      <c r="G510" s="2" t="n">
        <f aca="false">IFERROR(__xludf.dummyfunction("""COMPUTED_VALUE"""),30)</f>
        <v>30</v>
      </c>
      <c r="H510" s="2" t="n">
        <f aca="false">IFERROR(__xludf.dummyfunction("""COMPUTED_VALUE"""),30)</f>
        <v>30</v>
      </c>
      <c r="I510" s="9" t="n">
        <f aca="false">IFERROR(__xludf.dummyfunction("""COMPUTED_VALUE"""),79080)</f>
        <v>79080</v>
      </c>
      <c r="J510" s="9" t="n">
        <f aca="false">IFERROR(__xludf.dummyfunction("""COMPUTED_VALUE"""),91)</f>
        <v>91</v>
      </c>
      <c r="K510" s="9"/>
      <c r="L510" s="9" t="n">
        <f aca="false">IFERROR(__xludf.dummyfunction("""COMPUTED_VALUE"""),2000)</f>
        <v>2000</v>
      </c>
      <c r="M510" s="9"/>
    </row>
    <row r="511" customFormat="false" ht="15.75" hidden="false" customHeight="false" outlineLevel="0" collapsed="false">
      <c r="A511" s="2" t="str">
        <f aca="false">IFERROR(__xludf.dummyfunction("""COMPUTED_VALUE"""),"SRCM/BMA/0073")</f>
        <v>SRCM/BMA/0073</v>
      </c>
      <c r="B511" s="2" t="str">
        <f aca="false">IFERROR(__xludf.dummyfunction("""COMPUTED_VALUE"""),"S.RAKESH")</f>
        <v>S.RAKESH</v>
      </c>
      <c r="C511" s="2" t="str">
        <f aca="false">IFERROR(__xludf.dummyfunction("""COMPUTED_VALUE"""),"SRCM-KITCHEN")</f>
        <v>SRCM-KITCHEN</v>
      </c>
      <c r="D511" s="2" t="str">
        <f aca="false">IFERROR(__xludf.dummyfunction("""COMPUTED_VALUE"""),"BMA")</f>
        <v>BMA</v>
      </c>
      <c r="E511" s="16" t="n">
        <f aca="false">IFERROR(__xludf.dummyfunction("""COMPUTED_VALUE"""),42826)</f>
        <v>42826</v>
      </c>
      <c r="F511" s="9" t="n">
        <f aca="false">IFERROR(__xludf.dummyfunction("""COMPUTED_VALUE"""),12645)</f>
        <v>12645</v>
      </c>
      <c r="G511" s="2" t="n">
        <f aca="false">IFERROR(__xludf.dummyfunction("""COMPUTED_VALUE"""),30)</f>
        <v>30</v>
      </c>
      <c r="H511" s="2" t="n">
        <f aca="false">IFERROR(__xludf.dummyfunction("""COMPUTED_VALUE"""),30)</f>
        <v>30</v>
      </c>
      <c r="I511" s="9" t="n">
        <f aca="false">IFERROR(__xludf.dummyfunction("""COMPUTED_VALUE"""),106536)</f>
        <v>106536</v>
      </c>
      <c r="J511" s="9" t="n">
        <f aca="false">IFERROR(__xludf.dummyfunction("""COMPUTED_VALUE"""),242)</f>
        <v>242</v>
      </c>
      <c r="K511" s="9"/>
      <c r="L511" s="9" t="n">
        <f aca="false">IFERROR(__xludf.dummyfunction("""COMPUTED_VALUE"""),2000)</f>
        <v>2000</v>
      </c>
      <c r="M511" s="9"/>
    </row>
    <row r="512" customFormat="false" ht="15.75" hidden="false" customHeight="false" outlineLevel="0" collapsed="false">
      <c r="A512" s="2" t="str">
        <f aca="false">IFERROR(__xludf.dummyfunction("""COMPUTED_VALUE"""),"SRCM/BMA/0034")</f>
        <v>SRCM/BMA/0034</v>
      </c>
      <c r="B512" s="2" t="str">
        <f aca="false">IFERROR(__xludf.dummyfunction("""COMPUTED_VALUE"""),"JYOTI VAMSI")</f>
        <v>JYOTI VAMSI</v>
      </c>
      <c r="C512" s="2" t="str">
        <f aca="false">IFERROR(__xludf.dummyfunction("""COMPUTED_VALUE"""),"SRCM-ASHRAM OFFICE")</f>
        <v>SRCM-ASHRAM OFFICE</v>
      </c>
      <c r="D512" s="2" t="str">
        <f aca="false">IFERROR(__xludf.dummyfunction("""COMPUTED_VALUE"""),"BMA")</f>
        <v>BMA</v>
      </c>
      <c r="E512" s="16" t="n">
        <f aca="false">IFERROR(__xludf.dummyfunction("""COMPUTED_VALUE"""),42826)</f>
        <v>42826</v>
      </c>
      <c r="F512" s="9" t="n">
        <f aca="false">IFERROR(__xludf.dummyfunction("""COMPUTED_VALUE"""),19412)</f>
        <v>19412</v>
      </c>
      <c r="G512" s="2" t="n">
        <f aca="false">IFERROR(__xludf.dummyfunction("""COMPUTED_VALUE"""),30)</f>
        <v>30</v>
      </c>
      <c r="H512" s="2" t="n">
        <f aca="false">IFERROR(__xludf.dummyfunction("""COMPUTED_VALUE"""),30)</f>
        <v>30</v>
      </c>
      <c r="I512" s="9" t="n">
        <f aca="false">IFERROR(__xludf.dummyfunction("""COMPUTED_VALUE"""),127740)</f>
        <v>127740</v>
      </c>
      <c r="J512" s="9" t="n">
        <f aca="false">IFERROR(__xludf.dummyfunction("""COMPUTED_VALUE"""),170)</f>
        <v>170</v>
      </c>
      <c r="K512" s="9"/>
      <c r="L512" s="9" t="n">
        <f aca="false">IFERROR(__xludf.dummyfunction("""COMPUTED_VALUE"""),0)</f>
        <v>0</v>
      </c>
      <c r="M512" s="9"/>
    </row>
    <row r="513" customFormat="false" ht="15.75" hidden="false" customHeight="false" outlineLevel="0" collapsed="false">
      <c r="A513" s="2" t="str">
        <f aca="false">IFERROR(__xludf.dummyfunction("""COMPUTED_VALUE"""),"SRCM/BMA/0312")</f>
        <v>SRCM/BMA/0312</v>
      </c>
      <c r="B513" s="2" t="str">
        <f aca="false">IFERROR(__xludf.dummyfunction("""COMPUTED_VALUE"""),"SURESH")</f>
        <v>SURESH</v>
      </c>
      <c r="C513" s="2" t="str">
        <f aca="false">IFERROR(__xludf.dummyfunction("""COMPUTED_VALUE"""),"SRCM-HOUSEKEEPING")</f>
        <v>SRCM-HOUSEKEEPING</v>
      </c>
      <c r="D513" s="2" t="str">
        <f aca="false">IFERROR(__xludf.dummyfunction("""COMPUTED_VALUE"""),"BMA")</f>
        <v>BMA</v>
      </c>
      <c r="E513" s="16" t="n">
        <f aca="false">IFERROR(__xludf.dummyfunction("""COMPUTED_VALUE"""),43043)</f>
        <v>43043</v>
      </c>
      <c r="F513" s="9" t="n">
        <f aca="false">IFERROR(__xludf.dummyfunction("""COMPUTED_VALUE"""),16500)</f>
        <v>16500</v>
      </c>
      <c r="G513" s="2" t="n">
        <f aca="false">IFERROR(__xludf.dummyfunction("""COMPUTED_VALUE"""),30)</f>
        <v>30</v>
      </c>
      <c r="H513" s="2" t="n">
        <f aca="false">IFERROR(__xludf.dummyfunction("""COMPUTED_VALUE"""),30)</f>
        <v>30</v>
      </c>
      <c r="I513" s="9" t="n">
        <f aca="false">IFERROR(__xludf.dummyfunction("""COMPUTED_VALUE"""),208944)</f>
        <v>208944</v>
      </c>
      <c r="J513" s="9" t="n">
        <f aca="false">IFERROR(__xludf.dummyfunction("""COMPUTED_VALUE"""),242)</f>
        <v>242</v>
      </c>
      <c r="K513" s="9"/>
      <c r="L513" s="9" t="n">
        <f aca="false">IFERROR(__xludf.dummyfunction("""COMPUTED_VALUE"""),0)</f>
        <v>0</v>
      </c>
      <c r="M513" s="9"/>
    </row>
    <row r="514" customFormat="false" ht="15.75" hidden="false" customHeight="false" outlineLevel="0" collapsed="false">
      <c r="A514" s="2" t="str">
        <f aca="false">IFERROR(__xludf.dummyfunction("""COMPUTED_VALUE"""),"SRCM/BMA/0021")</f>
        <v>SRCM/BMA/0021</v>
      </c>
      <c r="B514" s="2" t="str">
        <f aca="false">IFERROR(__xludf.dummyfunction("""COMPUTED_VALUE"""),"D. KUMAR SWAMY")</f>
        <v>D. KUMAR SWAMY</v>
      </c>
      <c r="C514" s="2" t="str">
        <f aca="false">IFERROR(__xludf.dummyfunction("""COMPUTED_VALUE"""),"SRCM-MAINTENANCE")</f>
        <v>SRCM-MAINTENANCE</v>
      </c>
      <c r="D514" s="2" t="str">
        <f aca="false">IFERROR(__xludf.dummyfunction("""COMPUTED_VALUE"""),"BMA")</f>
        <v>BMA</v>
      </c>
      <c r="E514" s="16" t="n">
        <f aca="false">IFERROR(__xludf.dummyfunction("""COMPUTED_VALUE"""),43046)</f>
        <v>43046</v>
      </c>
      <c r="F514" s="9" t="n">
        <f aca="false">IFERROR(__xludf.dummyfunction("""COMPUTED_VALUE"""),13000)</f>
        <v>13000</v>
      </c>
      <c r="G514" s="2" t="n">
        <f aca="false">IFERROR(__xludf.dummyfunction("""COMPUTED_VALUE"""),30)</f>
        <v>30</v>
      </c>
      <c r="H514" s="2" t="n">
        <f aca="false">IFERROR(__xludf.dummyfunction("""COMPUTED_VALUE"""),30)</f>
        <v>30</v>
      </c>
      <c r="I514" s="9" t="n">
        <f aca="false">IFERROR(__xludf.dummyfunction("""COMPUTED_VALUE"""),174000)</f>
        <v>174000</v>
      </c>
      <c r="J514" s="9" t="n">
        <f aca="false">IFERROR(__xludf.dummyfunction("""COMPUTED_VALUE"""),60)</f>
        <v>60</v>
      </c>
      <c r="K514" s="9"/>
      <c r="L514" s="9" t="n">
        <f aca="false">IFERROR(__xludf.dummyfunction("""COMPUTED_VALUE"""),2000)</f>
        <v>2000</v>
      </c>
      <c r="M514" s="9"/>
    </row>
    <row r="515" customFormat="false" ht="15.75" hidden="false" customHeight="false" outlineLevel="0" collapsed="false">
      <c r="A515" s="2" t="str">
        <f aca="false">IFERROR(__xludf.dummyfunction("""COMPUTED_VALUE"""),"SRCM/BMA/0020")</f>
        <v>SRCM/BMA/0020</v>
      </c>
      <c r="B515" s="2" t="str">
        <f aca="false">IFERROR(__xludf.dummyfunction("""COMPUTED_VALUE"""),"DINESH BAHADUR")</f>
        <v>DINESH BAHADUR</v>
      </c>
      <c r="C515" s="2" t="str">
        <f aca="false">IFERROR(__xludf.dummyfunction("""COMPUTED_VALUE"""),"SRCM-SECURITY")</f>
        <v>SRCM-SECURITY</v>
      </c>
      <c r="D515" s="2" t="str">
        <f aca="false">IFERROR(__xludf.dummyfunction("""COMPUTED_VALUE"""),"BMA")</f>
        <v>BMA</v>
      </c>
      <c r="E515" s="16" t="n">
        <f aca="false">IFERROR(__xludf.dummyfunction("""COMPUTED_VALUE"""),42948)</f>
        <v>42948</v>
      </c>
      <c r="F515" s="9" t="n">
        <f aca="false">IFERROR(__xludf.dummyfunction("""COMPUTED_VALUE"""),8956)</f>
        <v>8956</v>
      </c>
      <c r="G515" s="2" t="n">
        <f aca="false">IFERROR(__xludf.dummyfunction("""COMPUTED_VALUE"""),30)</f>
        <v>30</v>
      </c>
      <c r="H515" s="2" t="n">
        <f aca="false">IFERROR(__xludf.dummyfunction("""COMPUTED_VALUE"""),30)</f>
        <v>30</v>
      </c>
      <c r="I515" s="9" t="n">
        <f aca="false">IFERROR(__xludf.dummyfunction("""COMPUTED_VALUE"""),132000)</f>
        <v>132000</v>
      </c>
      <c r="J515" s="9" t="n">
        <f aca="false">IFERROR(__xludf.dummyfunction("""COMPUTED_VALUE"""),302)</f>
        <v>302</v>
      </c>
      <c r="K515" s="9"/>
      <c r="L515" s="9" t="n">
        <f aca="false">IFERROR(__xludf.dummyfunction("""COMPUTED_VALUE"""),2000)</f>
        <v>2000</v>
      </c>
      <c r="M515" s="9"/>
    </row>
    <row r="516" customFormat="false" ht="15.75" hidden="false" customHeight="false" outlineLevel="0" collapsed="false">
      <c r="A516" s="2" t="str">
        <f aca="false">IFERROR(__xludf.dummyfunction("""COMPUTED_VALUE"""),"SRCM/BMA/0093")</f>
        <v>SRCM/BMA/0093</v>
      </c>
      <c r="B516" s="2" t="str">
        <f aca="false">IFERROR(__xludf.dummyfunction("""COMPUTED_VALUE"""),"SHANMUGAM")</f>
        <v>SHANMUGAM</v>
      </c>
      <c r="C516" s="2" t="str">
        <f aca="false">IFERROR(__xludf.dummyfunction("""COMPUTED_VALUE"""),"SRCM-MAINTENANCE")</f>
        <v>SRCM-MAINTENANCE</v>
      </c>
      <c r="D516" s="2" t="str">
        <f aca="false">IFERROR(__xludf.dummyfunction("""COMPUTED_VALUE"""),"BMA")</f>
        <v>BMA</v>
      </c>
      <c r="E516" s="16" t="n">
        <f aca="false">IFERROR(__xludf.dummyfunction("""COMPUTED_VALUE"""),43526)</f>
        <v>43526</v>
      </c>
      <c r="F516" s="9" t="n">
        <f aca="false">IFERROR(__xludf.dummyfunction("""COMPUTED_VALUE"""),15180)</f>
        <v>15180</v>
      </c>
      <c r="G516" s="2" t="n">
        <f aca="false">IFERROR(__xludf.dummyfunction("""COMPUTED_VALUE"""),30)</f>
        <v>30</v>
      </c>
      <c r="H516" s="2" t="n">
        <f aca="false">IFERROR(__xludf.dummyfunction("""COMPUTED_VALUE"""),30)</f>
        <v>30</v>
      </c>
      <c r="I516" s="9" t="n">
        <f aca="false">IFERROR(__xludf.dummyfunction("""COMPUTED_VALUE"""),83472)</f>
        <v>83472</v>
      </c>
      <c r="J516" s="9" t="n">
        <f aca="false">IFERROR(__xludf.dummyfunction("""COMPUTED_VALUE"""),170)</f>
        <v>170</v>
      </c>
      <c r="K516" s="9"/>
      <c r="L516" s="9" t="n">
        <f aca="false">IFERROR(__xludf.dummyfunction("""COMPUTED_VALUE"""),2000)</f>
        <v>2000</v>
      </c>
      <c r="M516" s="9"/>
    </row>
    <row r="517" customFormat="false" ht="15.75" hidden="false" customHeight="false" outlineLevel="0" collapsed="false">
      <c r="A517" s="2" t="str">
        <f aca="false">IFERROR(__xludf.dummyfunction("""COMPUTED_VALUE"""),"SRCM/BMA/1256")</f>
        <v>SRCM/BMA/1256</v>
      </c>
      <c r="B517" s="2" t="str">
        <f aca="false">IFERROR(__xludf.dummyfunction("""COMPUTED_VALUE"""),"KAMAL RAJ")</f>
        <v>KAMAL RAJ</v>
      </c>
      <c r="C517" s="2" t="str">
        <f aca="false">IFERROR(__xludf.dummyfunction("""COMPUTED_VALUE"""),"SRCM-MAINTENANCE")</f>
        <v>SRCM-MAINTENANCE</v>
      </c>
      <c r="D517" s="2" t="str">
        <f aca="false">IFERROR(__xludf.dummyfunction("""COMPUTED_VALUE"""),"BMA")</f>
        <v>BMA</v>
      </c>
      <c r="E517" s="16" t="n">
        <f aca="false">IFERROR(__xludf.dummyfunction("""COMPUTED_VALUE"""),43526)</f>
        <v>43526</v>
      </c>
      <c r="F517" s="9" t="n">
        <f aca="false">IFERROR(__xludf.dummyfunction("""COMPUTED_VALUE"""),22000)</f>
        <v>22000</v>
      </c>
      <c r="G517" s="2" t="n">
        <f aca="false">IFERROR(__xludf.dummyfunction("""COMPUTED_VALUE"""),30)</f>
        <v>30</v>
      </c>
      <c r="H517" s="2" t="n">
        <f aca="false">IFERROR(__xludf.dummyfunction("""COMPUTED_VALUE"""),30)</f>
        <v>30</v>
      </c>
      <c r="I517" s="9" t="n">
        <f aca="false">IFERROR(__xludf.dummyfunction("""COMPUTED_VALUE"""),158160)</f>
        <v>158160</v>
      </c>
      <c r="J517" s="9" t="n">
        <f aca="false">IFERROR(__xludf.dummyfunction("""COMPUTED_VALUE"""),151)</f>
        <v>151</v>
      </c>
      <c r="K517" s="9"/>
      <c r="L517" s="9" t="n">
        <f aca="false">IFERROR(__xludf.dummyfunction("""COMPUTED_VALUE"""),0)</f>
        <v>0</v>
      </c>
      <c r="M517" s="9"/>
    </row>
    <row r="518" customFormat="false" ht="15.75" hidden="false" customHeight="false" outlineLevel="0" collapsed="false">
      <c r="A518" s="2" t="str">
        <f aca="false">IFERROR(__xludf.dummyfunction("""COMPUTED_VALUE"""),"SRCM/BMA/0088")</f>
        <v>SRCM/BMA/0088</v>
      </c>
      <c r="B518" s="2" t="str">
        <f aca="false">IFERROR(__xludf.dummyfunction("""COMPUTED_VALUE"""),"SHEODAS SINGH")</f>
        <v>SHEODAS SINGH</v>
      </c>
      <c r="C518" s="2" t="str">
        <f aca="false">IFERROR(__xludf.dummyfunction("""COMPUTED_VALUE"""),"SRCM-ACCOUNTS")</f>
        <v>SRCM-ACCOUNTS</v>
      </c>
      <c r="D518" s="2" t="str">
        <f aca="false">IFERROR(__xludf.dummyfunction("""COMPUTED_VALUE"""),"BMA")</f>
        <v>BMA</v>
      </c>
      <c r="E518" s="16" t="n">
        <f aca="false">IFERROR(__xludf.dummyfunction("""COMPUTED_VALUE"""),32461)</f>
        <v>32461</v>
      </c>
      <c r="F518" s="9" t="n">
        <f aca="false">IFERROR(__xludf.dummyfunction("""COMPUTED_VALUE"""),48375)</f>
        <v>48375</v>
      </c>
      <c r="G518" s="2" t="n">
        <f aca="false">IFERROR(__xludf.dummyfunction("""COMPUTED_VALUE"""),30)</f>
        <v>30</v>
      </c>
      <c r="H518" s="2" t="n">
        <f aca="false">IFERROR(__xludf.dummyfunction("""COMPUTED_VALUE"""),30)</f>
        <v>30</v>
      </c>
      <c r="I518" s="9" t="n">
        <f aca="false">IFERROR(__xludf.dummyfunction("""COMPUTED_VALUE"""),240000)</f>
        <v>240000</v>
      </c>
      <c r="J518" s="9" t="n">
        <f aca="false">IFERROR(__xludf.dummyfunction("""COMPUTED_VALUE"""),638)</f>
        <v>638</v>
      </c>
      <c r="K518" s="9"/>
      <c r="L518" s="9" t="n">
        <f aca="false">IFERROR(__xludf.dummyfunction("""COMPUTED_VALUE"""),0)</f>
        <v>0</v>
      </c>
      <c r="M518" s="9"/>
    </row>
    <row r="519" customFormat="false" ht="15.75" hidden="false" customHeight="false" outlineLevel="0" collapsed="false">
      <c r="A519" s="2" t="str">
        <f aca="false">IFERROR(__xludf.dummyfunction("""COMPUTED_VALUE"""),"SRCM/BMA/0614")</f>
        <v>SRCM/BMA/0614</v>
      </c>
      <c r="B519" s="2" t="str">
        <f aca="false">IFERROR(__xludf.dummyfunction("""COMPUTED_VALUE"""),"M A RAGHAVAN")</f>
        <v>M A RAGHAVAN</v>
      </c>
      <c r="C519" s="2" t="str">
        <f aca="false">IFERROR(__xludf.dummyfunction("""COMPUTED_VALUE"""),"SRCM-SECURITY")</f>
        <v>SRCM-SECURITY</v>
      </c>
      <c r="D519" s="2" t="str">
        <f aca="false">IFERROR(__xludf.dummyfunction("""COMPUTED_VALUE"""),"BMA")</f>
        <v>BMA</v>
      </c>
      <c r="E519" s="16" t="n">
        <f aca="false">IFERROR(__xludf.dummyfunction("""COMPUTED_VALUE"""),31172)</f>
        <v>31172</v>
      </c>
      <c r="F519" s="9" t="n">
        <f aca="false">IFERROR(__xludf.dummyfunction("""COMPUTED_VALUE"""),35120)</f>
        <v>35120</v>
      </c>
      <c r="G519" s="2" t="n">
        <f aca="false">IFERROR(__xludf.dummyfunction("""COMPUTED_VALUE"""),30)</f>
        <v>30</v>
      </c>
      <c r="H519" s="2" t="n">
        <f aca="false">IFERROR(__xludf.dummyfunction("""COMPUTED_VALUE"""),30)</f>
        <v>30</v>
      </c>
      <c r="I519" s="9" t="n">
        <f aca="false">IFERROR(__xludf.dummyfunction("""COMPUTED_VALUE"""),556500)</f>
        <v>556500</v>
      </c>
      <c r="J519" s="9" t="n">
        <f aca="false">IFERROR(__xludf.dummyfunction("""COMPUTED_VALUE"""),951)</f>
        <v>951</v>
      </c>
      <c r="K519" s="9"/>
      <c r="L519" s="9" t="n">
        <f aca="false">IFERROR(__xludf.dummyfunction("""COMPUTED_VALUE"""),0)</f>
        <v>0</v>
      </c>
      <c r="M519" s="9"/>
    </row>
    <row r="520" customFormat="false" ht="15.75" hidden="false" customHeight="false" outlineLevel="0" collapsed="false">
      <c r="A520" s="2" t="str">
        <f aca="false">IFERROR(__xludf.dummyfunction("""COMPUTED_VALUE"""),"SRCM/BMA/0053")</f>
        <v>SRCM/BMA/0053</v>
      </c>
      <c r="B520" s="2" t="str">
        <f aca="false">IFERROR(__xludf.dummyfunction("""COMPUTED_VALUE"""),"M SIVARAJ")</f>
        <v>M SIVARAJ</v>
      </c>
      <c r="C520" s="2" t="str">
        <f aca="false">IFERROR(__xludf.dummyfunction("""COMPUTED_VALUE"""),"SRCM-ACCOUNTS")</f>
        <v>SRCM-ACCOUNTS</v>
      </c>
      <c r="D520" s="2" t="str">
        <f aca="false">IFERROR(__xludf.dummyfunction("""COMPUTED_VALUE"""),"BMA")</f>
        <v>BMA</v>
      </c>
      <c r="E520" s="16" t="n">
        <f aca="false">IFERROR(__xludf.dummyfunction("""COMPUTED_VALUE"""),38326)</f>
        <v>38326</v>
      </c>
      <c r="F520" s="9" t="n">
        <f aca="false">IFERROR(__xludf.dummyfunction("""COMPUTED_VALUE"""),19800)</f>
        <v>19800</v>
      </c>
      <c r="G520" s="2" t="n">
        <f aca="false">IFERROR(__xludf.dummyfunction("""COMPUTED_VALUE"""),30)</f>
        <v>30</v>
      </c>
      <c r="H520" s="2" t="n">
        <f aca="false">IFERROR(__xludf.dummyfunction("""COMPUTED_VALUE"""),30)</f>
        <v>30</v>
      </c>
      <c r="I520" s="9" t="n">
        <f aca="false">IFERROR(__xludf.dummyfunction("""COMPUTED_VALUE"""),397440)</f>
        <v>397440</v>
      </c>
      <c r="J520" s="9" t="n">
        <f aca="false">IFERROR(__xludf.dummyfunction("""COMPUTED_VALUE"""),453)</f>
        <v>453</v>
      </c>
      <c r="K520" s="9"/>
      <c r="L520" s="9" t="n">
        <f aca="false">IFERROR(__xludf.dummyfunction("""COMPUTED_VALUE"""),0)</f>
        <v>0</v>
      </c>
      <c r="M520" s="9"/>
    </row>
    <row r="521" customFormat="false" ht="15.75" hidden="false" customHeight="false" outlineLevel="0" collapsed="false">
      <c r="A521" s="2" t="str">
        <f aca="false">IFERROR(__xludf.dummyfunction("""COMPUTED_VALUE"""),"SRCM/BMA/0075")</f>
        <v>SRCM/BMA/0075</v>
      </c>
      <c r="B521" s="2" t="str">
        <f aca="false">IFERROR(__xludf.dummyfunction("""COMPUTED_VALUE"""),"MANISHA RANA")</f>
        <v>MANISHA RANA</v>
      </c>
      <c r="C521" s="2" t="str">
        <f aca="false">IFERROR(__xludf.dummyfunction("""COMPUTED_VALUE"""),"SRCM-ACCOUNTS")</f>
        <v>SRCM-ACCOUNTS</v>
      </c>
      <c r="D521" s="2" t="str">
        <f aca="false">IFERROR(__xludf.dummyfunction("""COMPUTED_VALUE"""),"BMA")</f>
        <v>BMA</v>
      </c>
      <c r="E521" s="16" t="n">
        <f aca="false">IFERROR(__xludf.dummyfunction("""COMPUTED_VALUE"""),39083)</f>
        <v>39083</v>
      </c>
      <c r="F521" s="9" t="n">
        <f aca="false">IFERROR(__xludf.dummyfunction("""COMPUTED_VALUE"""),11827)</f>
        <v>11827</v>
      </c>
      <c r="G521" s="2" t="n">
        <f aca="false">IFERROR(__xludf.dummyfunction("""COMPUTED_VALUE"""),30)</f>
        <v>30</v>
      </c>
      <c r="H521" s="2" t="n">
        <f aca="false">IFERROR(__xludf.dummyfunction("""COMPUTED_VALUE"""),30)</f>
        <v>30</v>
      </c>
      <c r="I521" s="9" t="n">
        <f aca="false">IFERROR(__xludf.dummyfunction("""COMPUTED_VALUE"""),213600)</f>
        <v>213600</v>
      </c>
      <c r="J521" s="9" t="n">
        <f aca="false">IFERROR(__xludf.dummyfunction("""COMPUTED_VALUE"""),160)</f>
        <v>160</v>
      </c>
      <c r="K521" s="9"/>
      <c r="L521" s="9" t="n">
        <f aca="false">IFERROR(__xludf.dummyfunction("""COMPUTED_VALUE"""),2000)</f>
        <v>2000</v>
      </c>
      <c r="M521" s="9"/>
    </row>
    <row r="522" customFormat="false" ht="15.75" hidden="false" customHeight="false" outlineLevel="0" collapsed="false">
      <c r="A522" s="2" t="str">
        <f aca="false">IFERROR(__xludf.dummyfunction("""COMPUTED_VALUE"""),"SRCM/BMA/0047")</f>
        <v>SRCM/BMA/0047</v>
      </c>
      <c r="B522" s="2" t="str">
        <f aca="false">IFERROR(__xludf.dummyfunction("""COMPUTED_VALUE"""),"MAHIMAIDAS")</f>
        <v>MAHIMAIDAS</v>
      </c>
      <c r="C522" s="2" t="str">
        <f aca="false">IFERROR(__xludf.dummyfunction("""COMPUTED_VALUE"""),"SRCM-NURSERY")</f>
        <v>SRCM-NURSERY</v>
      </c>
      <c r="D522" s="2" t="str">
        <f aca="false">IFERROR(__xludf.dummyfunction("""COMPUTED_VALUE"""),"BMA")</f>
        <v>BMA</v>
      </c>
      <c r="E522" s="16" t="n">
        <f aca="false">IFERROR(__xludf.dummyfunction("""COMPUTED_VALUE"""),37058)</f>
        <v>37058</v>
      </c>
      <c r="F522" s="9" t="n">
        <f aca="false">IFERROR(__xludf.dummyfunction("""COMPUTED_VALUE"""),8800)</f>
        <v>8800</v>
      </c>
      <c r="G522" s="2" t="n">
        <f aca="false">IFERROR(__xludf.dummyfunction("""COMPUTED_VALUE"""),30)</f>
        <v>30</v>
      </c>
      <c r="H522" s="2" t="n">
        <f aca="false">IFERROR(__xludf.dummyfunction("""COMPUTED_VALUE"""),30)</f>
        <v>30</v>
      </c>
      <c r="I522" s="9" t="n">
        <f aca="false">IFERROR(__xludf.dummyfunction("""COMPUTED_VALUE"""),117924)</f>
        <v>117924</v>
      </c>
      <c r="J522" s="9" t="n">
        <f aca="false">IFERROR(__xludf.dummyfunction("""COMPUTED_VALUE"""),371)</f>
        <v>371</v>
      </c>
      <c r="K522" s="9"/>
      <c r="L522" s="9" t="n">
        <f aca="false">IFERROR(__xludf.dummyfunction("""COMPUTED_VALUE"""),0)</f>
        <v>0</v>
      </c>
      <c r="M522" s="9"/>
    </row>
    <row r="523" customFormat="false" ht="15.75" hidden="false" customHeight="false" outlineLevel="0" collapsed="false">
      <c r="A523" s="2" t="str">
        <f aca="false">IFERROR(__xludf.dummyfunction("""COMPUTED_VALUE"""),"SRCM/BMA/0056")</f>
        <v>SRCM/BMA/0056</v>
      </c>
      <c r="B523" s="2" t="str">
        <f aca="false">IFERROR(__xludf.dummyfunction("""COMPUTED_VALUE"""),"NAGAVENKATESWARLU K Y")</f>
        <v>NAGAVENKATESWARLU K Y</v>
      </c>
      <c r="C523" s="2" t="str">
        <f aca="false">IFERROR(__xludf.dummyfunction("""COMPUTED_VALUE"""),"SRCM-NURSERY")</f>
        <v>SRCM-NURSERY</v>
      </c>
      <c r="D523" s="2" t="str">
        <f aca="false">IFERROR(__xludf.dummyfunction("""COMPUTED_VALUE"""),"BMA")</f>
        <v>BMA</v>
      </c>
      <c r="E523" s="16" t="n">
        <f aca="false">IFERROR(__xludf.dummyfunction("""COMPUTED_VALUE"""),38443)</f>
        <v>38443</v>
      </c>
      <c r="F523" s="9" t="n">
        <f aca="false">IFERROR(__xludf.dummyfunction("""COMPUTED_VALUE"""),8800)</f>
        <v>8800</v>
      </c>
      <c r="G523" s="2" t="n">
        <f aca="false">IFERROR(__xludf.dummyfunction("""COMPUTED_VALUE"""),30)</f>
        <v>30</v>
      </c>
      <c r="H523" s="2" t="n">
        <f aca="false">IFERROR(__xludf.dummyfunction("""COMPUTED_VALUE"""),30)</f>
        <v>30</v>
      </c>
      <c r="I523" s="9" t="n">
        <f aca="false">IFERROR(__xludf.dummyfunction("""COMPUTED_VALUE"""),81600)</f>
        <v>81600</v>
      </c>
      <c r="J523" s="9" t="n">
        <f aca="false">IFERROR(__xludf.dummyfunction("""COMPUTED_VALUE"""),302)</f>
        <v>302</v>
      </c>
      <c r="K523" s="9"/>
      <c r="L523" s="9" t="n">
        <f aca="false">IFERROR(__xludf.dummyfunction("""COMPUTED_VALUE"""),0)</f>
        <v>0</v>
      </c>
      <c r="M523" s="9"/>
    </row>
    <row r="524" customFormat="false" ht="15.75" hidden="false" customHeight="false" outlineLevel="0" collapsed="false">
      <c r="A524" s="2" t="str">
        <f aca="false">IFERROR(__xludf.dummyfunction("""COMPUTED_VALUE"""),"SRCM/BMA/0467")</f>
        <v>SRCM/BMA/0467</v>
      </c>
      <c r="B524" s="2" t="str">
        <f aca="false">IFERROR(__xludf.dummyfunction("""COMPUTED_VALUE"""),"M S SHAMLA")</f>
        <v>M S SHAMLA</v>
      </c>
      <c r="C524" s="2" t="str">
        <f aca="false">IFERROR(__xludf.dummyfunction("""COMPUTED_VALUE"""),"SRCM-LEGAL")</f>
        <v>SRCM-LEGAL</v>
      </c>
      <c r="D524" s="2" t="str">
        <f aca="false">IFERROR(__xludf.dummyfunction("""COMPUTED_VALUE"""),"BMA")</f>
        <v>BMA</v>
      </c>
      <c r="E524" s="16" t="n">
        <f aca="false">IFERROR(__xludf.dummyfunction("""COMPUTED_VALUE"""),41474)</f>
        <v>41474</v>
      </c>
      <c r="F524" s="9" t="n">
        <f aca="false">IFERROR(__xludf.dummyfunction("""COMPUTED_VALUE"""),23187)</f>
        <v>23187</v>
      </c>
      <c r="G524" s="2" t="n">
        <f aca="false">IFERROR(__xludf.dummyfunction("""COMPUTED_VALUE"""),30)</f>
        <v>30</v>
      </c>
      <c r="H524" s="2" t="n">
        <f aca="false">IFERROR(__xludf.dummyfunction("""COMPUTED_VALUE"""),30)</f>
        <v>30</v>
      </c>
      <c r="I524" s="9" t="n">
        <f aca="false">IFERROR(__xludf.dummyfunction("""COMPUTED_VALUE"""),81600)</f>
        <v>81600</v>
      </c>
      <c r="J524" s="9" t="n">
        <f aca="false">IFERROR(__xludf.dummyfunction("""COMPUTED_VALUE"""),151)</f>
        <v>151</v>
      </c>
      <c r="K524" s="9"/>
      <c r="L524" s="9" t="n">
        <f aca="false">IFERROR(__xludf.dummyfunction("""COMPUTED_VALUE"""),0)</f>
        <v>0</v>
      </c>
      <c r="M524" s="9"/>
    </row>
    <row r="525" customFormat="false" ht="15.75" hidden="false" customHeight="false" outlineLevel="0" collapsed="false">
      <c r="A525" s="2" t="str">
        <f aca="false">IFERROR(__xludf.dummyfunction("""COMPUTED_VALUE"""),"SRCM/BMA/0354")</f>
        <v>SRCM/BMA/0354</v>
      </c>
      <c r="B525" s="2" t="str">
        <f aca="false">IFERROR(__xludf.dummyfunction("""COMPUTED_VALUE"""),"LAKSHMI PATHI")</f>
        <v>LAKSHMI PATHI</v>
      </c>
      <c r="C525" s="2" t="str">
        <f aca="false">IFERROR(__xludf.dummyfunction("""COMPUTED_VALUE"""),"SRCM-IT")</f>
        <v>SRCM-IT</v>
      </c>
      <c r="D525" s="2" t="str">
        <f aca="false">IFERROR(__xludf.dummyfunction("""COMPUTED_VALUE"""),"BMA")</f>
        <v>BMA</v>
      </c>
      <c r="E525" s="16" t="n">
        <f aca="false">IFERROR(__xludf.dummyfunction("""COMPUTED_VALUE"""),41760)</f>
        <v>41760</v>
      </c>
      <c r="F525" s="9" t="n">
        <f aca="false">IFERROR(__xludf.dummyfunction("""COMPUTED_VALUE"""),20000)</f>
        <v>20000</v>
      </c>
      <c r="G525" s="2" t="n">
        <f aca="false">IFERROR(__xludf.dummyfunction("""COMPUTED_VALUE"""),30)</f>
        <v>30</v>
      </c>
      <c r="H525" s="2" t="n">
        <f aca="false">IFERROR(__xludf.dummyfunction("""COMPUTED_VALUE"""),30)</f>
        <v>30</v>
      </c>
      <c r="I525" s="9" t="n">
        <f aca="false">IFERROR(__xludf.dummyfunction("""COMPUTED_VALUE"""),254244)</f>
        <v>254244</v>
      </c>
      <c r="J525" s="9" t="n">
        <f aca="false">IFERROR(__xludf.dummyfunction("""COMPUTED_VALUE"""),91)</f>
        <v>91</v>
      </c>
      <c r="K525" s="9"/>
      <c r="L525" s="9" t="n">
        <f aca="false">IFERROR(__xludf.dummyfunction("""COMPUTED_VALUE"""),0)</f>
        <v>0</v>
      </c>
      <c r="M525" s="9"/>
    </row>
    <row r="526" customFormat="false" ht="15.75" hidden="false" customHeight="false" outlineLevel="0" collapsed="false">
      <c r="A526" s="2" t="str">
        <f aca="false">IFERROR(__xludf.dummyfunction("""COMPUTED_VALUE"""),"SRCM/BMA/0064")</f>
        <v>SRCM/BMA/0064</v>
      </c>
      <c r="B526" s="2" t="str">
        <f aca="false">IFERROR(__xludf.dummyfunction("""COMPUTED_VALUE"""),"PRAMILA")</f>
        <v>PRAMILA</v>
      </c>
      <c r="C526" s="2" t="str">
        <f aca="false">IFERROR(__xludf.dummyfunction("""COMPUTED_VALUE"""),"SRCM-IT")</f>
        <v>SRCM-IT</v>
      </c>
      <c r="D526" s="2" t="str">
        <f aca="false">IFERROR(__xludf.dummyfunction("""COMPUTED_VALUE"""),"BMA")</f>
        <v>BMA</v>
      </c>
      <c r="E526" s="16" t="n">
        <f aca="false">IFERROR(__xludf.dummyfunction("""COMPUTED_VALUE"""),40940)</f>
        <v>40940</v>
      </c>
      <c r="F526" s="9" t="n">
        <f aca="false">IFERROR(__xludf.dummyfunction("""COMPUTED_VALUE"""),21296)</f>
        <v>21296</v>
      </c>
      <c r="G526" s="2" t="n">
        <f aca="false">IFERROR(__xludf.dummyfunction("""COMPUTED_VALUE"""),30)</f>
        <v>30</v>
      </c>
      <c r="H526" s="2" t="n">
        <f aca="false">IFERROR(__xludf.dummyfunction("""COMPUTED_VALUE"""),30)</f>
        <v>30</v>
      </c>
      <c r="I526" s="9" t="n">
        <f aca="false">IFERROR(__xludf.dummyfunction("""COMPUTED_VALUE"""),216000)</f>
        <v>216000</v>
      </c>
      <c r="J526" s="9" t="n">
        <f aca="false">IFERROR(__xludf.dummyfunction("""COMPUTED_VALUE"""),393)</f>
        <v>393</v>
      </c>
      <c r="K526" s="9"/>
      <c r="L526" s="9" t="n">
        <f aca="false">IFERROR(__xludf.dummyfunction("""COMPUTED_VALUE"""),0)</f>
        <v>0</v>
      </c>
      <c r="M526" s="9"/>
    </row>
    <row r="527" customFormat="false" ht="15.75" hidden="false" customHeight="false" outlineLevel="0" collapsed="false">
      <c r="A527" s="2" t="str">
        <f aca="false">IFERROR(__xludf.dummyfunction("""COMPUTED_VALUE"""),"SRCM/BMA/0100")</f>
        <v>SRCM/BMA/0100</v>
      </c>
      <c r="B527" s="2" t="str">
        <f aca="false">IFERROR(__xludf.dummyfunction("""COMPUTED_VALUE"""),"M VENKATESWARAN")</f>
        <v>M VENKATESWARAN</v>
      </c>
      <c r="C527" s="2" t="str">
        <f aca="false">IFERROR(__xludf.dummyfunction("""COMPUTED_VALUE"""),"SRCM-ACCOUNTS")</f>
        <v>SRCM-ACCOUNTS</v>
      </c>
      <c r="D527" s="2" t="str">
        <f aca="false">IFERROR(__xludf.dummyfunction("""COMPUTED_VALUE"""),"BMA")</f>
        <v>BMA</v>
      </c>
      <c r="E527" s="16" t="n">
        <f aca="false">IFERROR(__xludf.dummyfunction("""COMPUTED_VALUE"""),42187)</f>
        <v>42187</v>
      </c>
      <c r="F527" s="9" t="n">
        <f aca="false">IFERROR(__xludf.dummyfunction("""COMPUTED_VALUE"""),16000)</f>
        <v>16000</v>
      </c>
      <c r="G527" s="2" t="n">
        <f aca="false">IFERROR(__xludf.dummyfunction("""COMPUTED_VALUE"""),30)</f>
        <v>30</v>
      </c>
      <c r="H527" s="2" t="n">
        <f aca="false">IFERROR(__xludf.dummyfunction("""COMPUTED_VALUE"""),30)</f>
        <v>30</v>
      </c>
      <c r="I527" s="9" t="n">
        <f aca="false">IFERROR(__xludf.dummyfunction("""COMPUTED_VALUE"""),231552)</f>
        <v>231552</v>
      </c>
      <c r="J527" s="9" t="n">
        <f aca="false">IFERROR(__xludf.dummyfunction("""COMPUTED_VALUE"""),91)</f>
        <v>91</v>
      </c>
      <c r="K527" s="9"/>
      <c r="L527" s="9" t="n">
        <f aca="false">IFERROR(__xludf.dummyfunction("""COMPUTED_VALUE"""),0)</f>
        <v>0</v>
      </c>
      <c r="M527" s="9"/>
    </row>
    <row r="528" customFormat="false" ht="15.75" hidden="false" customHeight="false" outlineLevel="0" collapsed="false">
      <c r="A528" s="2" t="str">
        <f aca="false">IFERROR(__xludf.dummyfunction("""COMPUTED_VALUE"""),"SRCM/BMA/0045")</f>
        <v>SRCM/BMA/0045</v>
      </c>
      <c r="B528" s="2" t="str">
        <f aca="false">IFERROR(__xludf.dummyfunction("""COMPUTED_VALUE"""),"KUSUMADEVI KRISHNAPAL SINGH KASHYAP")</f>
        <v>KUSUMADEVI KRISHNAPAL SINGH KASHYAP</v>
      </c>
      <c r="C528" s="2" t="str">
        <f aca="false">IFERROR(__xludf.dummyfunction("""COMPUTED_VALUE"""),"SRCM-ARCHIVES")</f>
        <v>SRCM-ARCHIVES</v>
      </c>
      <c r="D528" s="2" t="str">
        <f aca="false">IFERROR(__xludf.dummyfunction("""COMPUTED_VALUE"""),"BMA")</f>
        <v>BMA</v>
      </c>
      <c r="E528" s="16" t="n">
        <f aca="false">IFERROR(__xludf.dummyfunction("""COMPUTED_VALUE"""),42461)</f>
        <v>42461</v>
      </c>
      <c r="F528" s="9" t="n">
        <f aca="false">IFERROR(__xludf.dummyfunction("""COMPUTED_VALUE"""),12320)</f>
        <v>12320</v>
      </c>
      <c r="G528" s="2" t="n">
        <f aca="false">IFERROR(__xludf.dummyfunction("""COMPUTED_VALUE"""),30)</f>
        <v>30</v>
      </c>
      <c r="H528" s="2" t="n">
        <f aca="false">IFERROR(__xludf.dummyfunction("""COMPUTED_VALUE"""),30)</f>
        <v>30</v>
      </c>
      <c r="I528" s="9" t="n">
        <f aca="false">IFERROR(__xludf.dummyfunction("""COMPUTED_VALUE"""),168000)</f>
        <v>168000</v>
      </c>
      <c r="J528" s="9" t="n">
        <f aca="false">IFERROR(__xludf.dummyfunction("""COMPUTED_VALUE"""),0)</f>
        <v>0</v>
      </c>
      <c r="K528" s="9"/>
      <c r="L528" s="9" t="n">
        <f aca="false">IFERROR(__xludf.dummyfunction("""COMPUTED_VALUE"""),0)</f>
        <v>0</v>
      </c>
      <c r="M528" s="9"/>
    </row>
    <row r="529" customFormat="false" ht="15.75" hidden="false" customHeight="false" outlineLevel="0" collapsed="false">
      <c r="A529" s="2" t="str">
        <f aca="false">IFERROR(__xludf.dummyfunction("""COMPUTED_VALUE"""),"SRCM/BMA/0317")</f>
        <v>SRCM/BMA/0317</v>
      </c>
      <c r="B529" s="2" t="str">
        <f aca="false">IFERROR(__xludf.dummyfunction("""COMPUTED_VALUE"""),"SEENIAMMAL M")</f>
        <v>SEENIAMMAL M</v>
      </c>
      <c r="C529" s="2" t="str">
        <f aca="false">IFERROR(__xludf.dummyfunction("""COMPUTED_VALUE"""),"SRCM-HR")</f>
        <v>SRCM-HR</v>
      </c>
      <c r="D529" s="2" t="str">
        <f aca="false">IFERROR(__xludf.dummyfunction("""COMPUTED_VALUE"""),"BMA")</f>
        <v>BMA</v>
      </c>
      <c r="E529" s="16" t="n">
        <f aca="false">IFERROR(__xludf.dummyfunction("""COMPUTED_VALUE"""),42552)</f>
        <v>42552</v>
      </c>
      <c r="F529" s="9" t="n">
        <f aca="false">IFERROR(__xludf.dummyfunction("""COMPUTED_VALUE"""),22000)</f>
        <v>22000</v>
      </c>
      <c r="G529" s="2" t="n">
        <f aca="false">IFERROR(__xludf.dummyfunction("""COMPUTED_VALUE"""),30)</f>
        <v>30</v>
      </c>
      <c r="H529" s="2" t="n">
        <f aca="false">IFERROR(__xludf.dummyfunction("""COMPUTED_VALUE"""),30)</f>
        <v>30</v>
      </c>
      <c r="I529" s="9" t="n">
        <f aca="false">IFERROR(__xludf.dummyfunction("""COMPUTED_VALUE"""),123840)</f>
        <v>123840</v>
      </c>
      <c r="J529" s="9" t="n">
        <f aca="false">IFERROR(__xludf.dummyfunction("""COMPUTED_VALUE"""),91)</f>
        <v>91</v>
      </c>
      <c r="K529" s="9"/>
      <c r="L529" s="9" t="n">
        <f aca="false">IFERROR(__xludf.dummyfunction("""COMPUTED_VALUE"""),0)</f>
        <v>0</v>
      </c>
      <c r="M529" s="9"/>
    </row>
    <row r="530" customFormat="false" ht="15.75" hidden="false" customHeight="false" outlineLevel="0" collapsed="false">
      <c r="A530" s="2" t="str">
        <f aca="false">IFERROR(__xludf.dummyfunction("""COMPUTED_VALUE"""),"SRCM/BMA/0015")</f>
        <v>SRCM/BMA/0015</v>
      </c>
      <c r="B530" s="2" t="str">
        <f aca="false">IFERROR(__xludf.dummyfunction("""COMPUTED_VALUE"""),"C MANI")</f>
        <v>C MANI</v>
      </c>
      <c r="C530" s="2" t="str">
        <f aca="false">IFERROR(__xludf.dummyfunction("""COMPUTED_VALUE"""),"SRCM-SECURITY")</f>
        <v>SRCM-SECURITY</v>
      </c>
      <c r="D530" s="2" t="str">
        <f aca="false">IFERROR(__xludf.dummyfunction("""COMPUTED_VALUE"""),"BMA")</f>
        <v>BMA</v>
      </c>
      <c r="E530" s="16" t="n">
        <f aca="false">IFERROR(__xludf.dummyfunction("""COMPUTED_VALUE"""),42589)</f>
        <v>42589</v>
      </c>
      <c r="F530" s="9" t="n">
        <f aca="false">IFERROR(__xludf.dummyfunction("""COMPUTED_VALUE"""),20000)</f>
        <v>20000</v>
      </c>
      <c r="G530" s="2" t="n">
        <f aca="false">IFERROR(__xludf.dummyfunction("""COMPUTED_VALUE"""),30)</f>
        <v>30</v>
      </c>
      <c r="H530" s="2" t="n">
        <f aca="false">IFERROR(__xludf.dummyfunction("""COMPUTED_VALUE"""),30)</f>
        <v>30</v>
      </c>
      <c r="I530" s="9" t="n">
        <f aca="false">IFERROR(__xludf.dummyfunction("""COMPUTED_VALUE"""),240000)</f>
        <v>240000</v>
      </c>
      <c r="J530" s="9" t="n">
        <f aca="false">IFERROR(__xludf.dummyfunction("""COMPUTED_VALUE"""),651)</f>
        <v>651</v>
      </c>
      <c r="K530" s="9"/>
      <c r="L530" s="9" t="n">
        <f aca="false">IFERROR(__xludf.dummyfunction("""COMPUTED_VALUE"""),0)</f>
        <v>0</v>
      </c>
      <c r="M530" s="9"/>
    </row>
    <row r="531" customFormat="false" ht="15.75" hidden="false" customHeight="false" outlineLevel="0" collapsed="false">
      <c r="A531" s="2" t="str">
        <f aca="false">IFERROR(__xludf.dummyfunction("""COMPUTED_VALUE"""),"SRCM/BMA/0243")</f>
        <v>SRCM/BMA/0243</v>
      </c>
      <c r="B531" s="2" t="str">
        <f aca="false">IFERROR(__xludf.dummyfunction("""COMPUTED_VALUE"""),"AMIT BADAM")</f>
        <v>AMIT BADAM</v>
      </c>
      <c r="C531" s="2" t="str">
        <f aca="false">IFERROR(__xludf.dummyfunction("""COMPUTED_VALUE"""),"SRCM-ARCHIVES")</f>
        <v>SRCM-ARCHIVES</v>
      </c>
      <c r="D531" s="2" t="str">
        <f aca="false">IFERROR(__xludf.dummyfunction("""COMPUTED_VALUE"""),"BMA")</f>
        <v>BMA</v>
      </c>
      <c r="E531" s="16" t="n">
        <f aca="false">IFERROR(__xludf.dummyfunction("""COMPUTED_VALUE"""),42695)</f>
        <v>42695</v>
      </c>
      <c r="F531" s="9" t="n">
        <f aca="false">IFERROR(__xludf.dummyfunction("""COMPUTED_VALUE"""),20000)</f>
        <v>20000</v>
      </c>
      <c r="G531" s="2" t="n">
        <f aca="false">IFERROR(__xludf.dummyfunction("""COMPUTED_VALUE"""),30)</f>
        <v>30</v>
      </c>
      <c r="H531" s="2" t="n">
        <f aca="false">IFERROR(__xludf.dummyfunction("""COMPUTED_VALUE"""),30)</f>
        <v>30</v>
      </c>
      <c r="I531" s="9" t="n">
        <f aca="false">IFERROR(__xludf.dummyfunction("""COMPUTED_VALUE"""),216000)</f>
        <v>216000</v>
      </c>
      <c r="J531" s="9" t="n">
        <f aca="false">IFERROR(__xludf.dummyfunction("""COMPUTED_VALUE"""),242)</f>
        <v>242</v>
      </c>
      <c r="K531" s="9"/>
      <c r="L531" s="9" t="n">
        <f aca="false">IFERROR(__xludf.dummyfunction("""COMPUTED_VALUE"""),0)</f>
        <v>0</v>
      </c>
      <c r="M531" s="9"/>
    </row>
    <row r="532" customFormat="false" ht="15.75" hidden="false" customHeight="false" outlineLevel="0" collapsed="false">
      <c r="A532" s="2" t="str">
        <f aca="false">IFERROR(__xludf.dummyfunction("""COMPUTED_VALUE"""),"SRCM/BMA/0027")</f>
        <v>SRCM/BMA/0027</v>
      </c>
      <c r="B532" s="2" t="str">
        <f aca="false">IFERROR(__xludf.dummyfunction("""COMPUTED_VALUE"""),"G GEETHA")</f>
        <v>G GEETHA</v>
      </c>
      <c r="C532" s="2" t="str">
        <f aca="false">IFERROR(__xludf.dummyfunction("""COMPUTED_VALUE"""),"SRCM-MEMBERSHIP")</f>
        <v>SRCM-MEMBERSHIP</v>
      </c>
      <c r="D532" s="2" t="str">
        <f aca="false">IFERROR(__xludf.dummyfunction("""COMPUTED_VALUE"""),"BMA")</f>
        <v>BMA</v>
      </c>
      <c r="E532" s="16" t="n">
        <f aca="false">IFERROR(__xludf.dummyfunction("""COMPUTED_VALUE"""),42737)</f>
        <v>42737</v>
      </c>
      <c r="F532" s="9" t="n">
        <f aca="false">IFERROR(__xludf.dummyfunction("""COMPUTED_VALUE"""),12100)</f>
        <v>12100</v>
      </c>
      <c r="G532" s="2" t="n">
        <f aca="false">IFERROR(__xludf.dummyfunction("""COMPUTED_VALUE"""),30)</f>
        <v>30</v>
      </c>
      <c r="H532" s="2" t="n">
        <f aca="false">IFERROR(__xludf.dummyfunction("""COMPUTED_VALUE"""),30)</f>
        <v>30</v>
      </c>
      <c r="I532" s="9" t="n">
        <f aca="false">IFERROR(__xludf.dummyfunction("""COMPUTED_VALUE"""),216000)</f>
        <v>216000</v>
      </c>
      <c r="J532" s="9" t="n">
        <f aca="false">IFERROR(__xludf.dummyfunction("""COMPUTED_VALUE"""),91)</f>
        <v>91</v>
      </c>
      <c r="K532" s="9"/>
      <c r="L532" s="9" t="n">
        <f aca="false">IFERROR(__xludf.dummyfunction("""COMPUTED_VALUE"""),0)</f>
        <v>0</v>
      </c>
      <c r="M532" s="9"/>
    </row>
    <row r="533" customFormat="false" ht="15.75" hidden="false" customHeight="false" outlineLevel="0" collapsed="false">
      <c r="A533" s="2" t="str">
        <f aca="false">IFERROR(__xludf.dummyfunction("""COMPUTED_VALUE"""),"SRCM/BMA/0436")</f>
        <v>SRCM/BMA/0436</v>
      </c>
      <c r="B533" s="2" t="str">
        <f aca="false">IFERROR(__xludf.dummyfunction("""COMPUTED_VALUE"""),"D RAJESWARI")</f>
        <v>D RAJESWARI</v>
      </c>
      <c r="C533" s="2" t="str">
        <f aca="false">IFERROR(__xludf.dummyfunction("""COMPUTED_VALUE"""),"SRCM-ACCOUNTS")</f>
        <v>SRCM-ACCOUNTS</v>
      </c>
      <c r="D533" s="2" t="str">
        <f aca="false">IFERROR(__xludf.dummyfunction("""COMPUTED_VALUE"""),"BMA")</f>
        <v>BMA</v>
      </c>
      <c r="E533" s="16" t="n">
        <f aca="false">IFERROR(__xludf.dummyfunction("""COMPUTED_VALUE"""),42887)</f>
        <v>42887</v>
      </c>
      <c r="F533" s="9" t="n">
        <f aca="false">IFERROR(__xludf.dummyfunction("""COMPUTED_VALUE"""),11000)</f>
        <v>11000</v>
      </c>
      <c r="G533" s="2" t="n">
        <f aca="false">IFERROR(__xludf.dummyfunction("""COMPUTED_VALUE"""),30)</f>
        <v>30</v>
      </c>
      <c r="H533" s="2" t="n">
        <f aca="false">IFERROR(__xludf.dummyfunction("""COMPUTED_VALUE"""),30)</f>
        <v>30</v>
      </c>
      <c r="I533" s="9" t="n">
        <f aca="false">IFERROR(__xludf.dummyfunction("""COMPUTED_VALUE"""),121200)</f>
        <v>121200</v>
      </c>
      <c r="J533" s="9" t="n">
        <f aca="false">IFERROR(__xludf.dummyfunction("""COMPUTED_VALUE"""),321)</f>
        <v>321</v>
      </c>
      <c r="K533" s="9"/>
      <c r="L533" s="9" t="n">
        <f aca="false">IFERROR(__xludf.dummyfunction("""COMPUTED_VALUE"""),0)</f>
        <v>0</v>
      </c>
      <c r="M533" s="9"/>
    </row>
    <row r="534" customFormat="false" ht="15.75" hidden="false" customHeight="false" outlineLevel="0" collapsed="false">
      <c r="A534" s="2" t="str">
        <f aca="false">IFERROR(__xludf.dummyfunction("""COMPUTED_VALUE"""),"SRCM/BMA/0251")</f>
        <v>SRCM/BMA/0251</v>
      </c>
      <c r="B534" s="2" t="str">
        <f aca="false">IFERROR(__xludf.dummyfunction("""COMPUTED_VALUE"""),"VINOTH C")</f>
        <v>VINOTH C</v>
      </c>
      <c r="C534" s="2" t="str">
        <f aca="false">IFERROR(__xludf.dummyfunction("""COMPUTED_VALUE"""),"SRCM-ACCOUNTS")</f>
        <v>SRCM-ACCOUNTS</v>
      </c>
      <c r="D534" s="2" t="str">
        <f aca="false">IFERROR(__xludf.dummyfunction("""COMPUTED_VALUE"""),"BMA")</f>
        <v>BMA</v>
      </c>
      <c r="E534" s="16" t="n">
        <f aca="false">IFERROR(__xludf.dummyfunction("""COMPUTED_VALUE"""),42948)</f>
        <v>42948</v>
      </c>
      <c r="F534" s="9" t="n">
        <f aca="false">IFERROR(__xludf.dummyfunction("""COMPUTED_VALUE"""),16500)</f>
        <v>16500</v>
      </c>
      <c r="G534" s="2" t="n">
        <f aca="false">IFERROR(__xludf.dummyfunction("""COMPUTED_VALUE"""),30)</f>
        <v>30</v>
      </c>
      <c r="H534" s="2" t="n">
        <f aca="false">IFERROR(__xludf.dummyfunction("""COMPUTED_VALUE"""),30)</f>
        <v>30</v>
      </c>
      <c r="I534" s="9" t="n">
        <f aca="false">IFERROR(__xludf.dummyfunction("""COMPUTED_VALUE"""),108000)</f>
        <v>108000</v>
      </c>
      <c r="J534" s="9" t="n">
        <f aca="false">IFERROR(__xludf.dummyfunction("""COMPUTED_VALUE"""),91)</f>
        <v>91</v>
      </c>
      <c r="K534" s="9"/>
      <c r="L534" s="9" t="n">
        <f aca="false">IFERROR(__xludf.dummyfunction("""COMPUTED_VALUE"""),2000)</f>
        <v>2000</v>
      </c>
      <c r="M534" s="9"/>
    </row>
    <row r="535" customFormat="false" ht="15.75" hidden="false" customHeight="false" outlineLevel="0" collapsed="false">
      <c r="A535" s="2" t="str">
        <f aca="false">IFERROR(__xludf.dummyfunction("""COMPUTED_VALUE"""),"SRCM/BMA/0257")</f>
        <v>SRCM/BMA/0257</v>
      </c>
      <c r="B535" s="2" t="str">
        <f aca="false">IFERROR(__xludf.dummyfunction("""COMPUTED_VALUE"""),"KUSUMA GOLLA")</f>
        <v>KUSUMA GOLLA</v>
      </c>
      <c r="C535" s="2" t="str">
        <f aca="false">IFERROR(__xludf.dummyfunction("""COMPUTED_VALUE"""),"SRCM-ARCHIVES")</f>
        <v>SRCM-ARCHIVES</v>
      </c>
      <c r="D535" s="2" t="str">
        <f aca="false">IFERROR(__xludf.dummyfunction("""COMPUTED_VALUE"""),"BMA")</f>
        <v>BMA</v>
      </c>
      <c r="E535" s="16" t="n">
        <f aca="false">IFERROR(__xludf.dummyfunction("""COMPUTED_VALUE"""),42965)</f>
        <v>42965</v>
      </c>
      <c r="F535" s="9" t="n">
        <f aca="false">IFERROR(__xludf.dummyfunction("""COMPUTED_VALUE"""),12100)</f>
        <v>12100</v>
      </c>
      <c r="G535" s="2" t="n">
        <f aca="false">IFERROR(__xludf.dummyfunction("""COMPUTED_VALUE"""),30)</f>
        <v>30</v>
      </c>
      <c r="H535" s="2" t="n">
        <f aca="false">IFERROR(__xludf.dummyfunction("""COMPUTED_VALUE"""),30)</f>
        <v>30</v>
      </c>
      <c r="I535" s="9" t="n">
        <f aca="false">IFERROR(__xludf.dummyfunction("""COMPUTED_VALUE"""),174000)</f>
        <v>174000</v>
      </c>
      <c r="J535" s="9" t="n">
        <f aca="false">IFERROR(__xludf.dummyfunction("""COMPUTED_VALUE"""),0)</f>
        <v>0</v>
      </c>
      <c r="K535" s="9"/>
      <c r="L535" s="9" t="n">
        <f aca="false">IFERROR(__xludf.dummyfunction("""COMPUTED_VALUE"""),0)</f>
        <v>0</v>
      </c>
      <c r="M535" s="9"/>
    </row>
    <row r="536" customFormat="false" ht="15.75" hidden="false" customHeight="false" outlineLevel="0" collapsed="false">
      <c r="A536" s="2" t="str">
        <f aca="false">IFERROR(__xludf.dummyfunction("""COMPUTED_VALUE"""),"SRCM/BMA/0289")</f>
        <v>SRCM/BMA/0289</v>
      </c>
      <c r="B536" s="2" t="str">
        <f aca="false">IFERROR(__xludf.dummyfunction("""COMPUTED_VALUE"""),"SHANTHI")</f>
        <v>SHANTHI</v>
      </c>
      <c r="C536" s="2" t="str">
        <f aca="false">IFERROR(__xludf.dummyfunction("""COMPUTED_VALUE"""),"SRCM-ARCHIVES")</f>
        <v>SRCM-ARCHIVES</v>
      </c>
      <c r="D536" s="2" t="str">
        <f aca="false">IFERROR(__xludf.dummyfunction("""COMPUTED_VALUE"""),"BMA")</f>
        <v>BMA</v>
      </c>
      <c r="E536" s="16" t="n">
        <f aca="false">IFERROR(__xludf.dummyfunction("""COMPUTED_VALUE"""),42990)</f>
        <v>42990</v>
      </c>
      <c r="F536" s="9" t="n">
        <f aca="false">IFERROR(__xludf.dummyfunction("""COMPUTED_VALUE"""),11000)</f>
        <v>11000</v>
      </c>
      <c r="G536" s="2" t="n">
        <f aca="false">IFERROR(__xludf.dummyfunction("""COMPUTED_VALUE"""),30)</f>
        <v>30</v>
      </c>
      <c r="H536" s="2" t="n">
        <f aca="false">IFERROR(__xludf.dummyfunction("""COMPUTED_VALUE"""),30)</f>
        <v>30</v>
      </c>
      <c r="I536" s="9" t="n">
        <f aca="false">IFERROR(__xludf.dummyfunction("""COMPUTED_VALUE"""),121200)</f>
        <v>121200</v>
      </c>
      <c r="J536" s="9" t="n">
        <f aca="false">IFERROR(__xludf.dummyfunction("""COMPUTED_VALUE"""),0)</f>
        <v>0</v>
      </c>
      <c r="K536" s="9"/>
      <c r="L536" s="9" t="n">
        <f aca="false">IFERROR(__xludf.dummyfunction("""COMPUTED_VALUE"""),0)</f>
        <v>0</v>
      </c>
      <c r="M536" s="9"/>
    </row>
    <row r="537" customFormat="false" ht="15.75" hidden="false" customHeight="false" outlineLevel="0" collapsed="false">
      <c r="A537" s="2" t="str">
        <f aca="false">IFERROR(__xludf.dummyfunction("""COMPUTED_VALUE"""),"SRCM/BMA/0733")</f>
        <v>SRCM/BMA/0733</v>
      </c>
      <c r="B537" s="2" t="str">
        <f aca="false">IFERROR(__xludf.dummyfunction("""COMPUTED_VALUE"""),"JOTHI LAKSHMI K")</f>
        <v>JOTHI LAKSHMI K</v>
      </c>
      <c r="C537" s="2" t="str">
        <f aca="false">IFERROR(__xludf.dummyfunction("""COMPUTED_VALUE"""),"SRCM-MEMBERSHIP")</f>
        <v>SRCM-MEMBERSHIP</v>
      </c>
      <c r="D537" s="2" t="str">
        <f aca="false">IFERROR(__xludf.dummyfunction("""COMPUTED_VALUE"""),"BMA")</f>
        <v>BMA</v>
      </c>
      <c r="E537" s="16" t="n">
        <f aca="false">IFERROR(__xludf.dummyfunction("""COMPUTED_VALUE"""),43262)</f>
        <v>43262</v>
      </c>
      <c r="F537" s="9" t="n">
        <f aca="false">IFERROR(__xludf.dummyfunction("""COMPUTED_VALUE"""),8800)</f>
        <v>8800</v>
      </c>
      <c r="G537" s="2" t="n">
        <f aca="false">IFERROR(__xludf.dummyfunction("""COMPUTED_VALUE"""),30)</f>
        <v>30</v>
      </c>
      <c r="H537" s="2" t="n">
        <f aca="false">IFERROR(__xludf.dummyfunction("""COMPUTED_VALUE"""),30)</f>
        <v>30</v>
      </c>
      <c r="I537" s="9" t="n">
        <f aca="false">IFERROR(__xludf.dummyfunction("""COMPUTED_VALUE"""),108000)</f>
        <v>108000</v>
      </c>
      <c r="J537" s="9" t="n">
        <f aca="false">IFERROR(__xludf.dummyfunction("""COMPUTED_VALUE"""),0)</f>
        <v>0</v>
      </c>
      <c r="K537" s="9"/>
      <c r="L537" s="9" t="n">
        <f aca="false">IFERROR(__xludf.dummyfunction("""COMPUTED_VALUE"""),0)</f>
        <v>0</v>
      </c>
      <c r="M537" s="9"/>
    </row>
    <row r="538" customFormat="false" ht="15.75" hidden="false" customHeight="false" outlineLevel="0" collapsed="false">
      <c r="A538" s="2" t="str">
        <f aca="false">IFERROR(__xludf.dummyfunction("""COMPUTED_VALUE"""),"SRCM/BMA/0464")</f>
        <v>SRCM/BMA/0464</v>
      </c>
      <c r="B538" s="2" t="str">
        <f aca="false">IFERROR(__xludf.dummyfunction("""COMPUTED_VALUE"""),"VARALAKSHMI")</f>
        <v>VARALAKSHMI</v>
      </c>
      <c r="C538" s="2" t="str">
        <f aca="false">IFERROR(__xludf.dummyfunction("""COMPUTED_VALUE"""),"SRCM-HR")</f>
        <v>SRCM-HR</v>
      </c>
      <c r="D538" s="2" t="str">
        <f aca="false">IFERROR(__xludf.dummyfunction("""COMPUTED_VALUE"""),"BMA")</f>
        <v>BMA</v>
      </c>
      <c r="E538" s="16" t="n">
        <f aca="false">IFERROR(__xludf.dummyfunction("""COMPUTED_VALUE"""),43354)</f>
        <v>43354</v>
      </c>
      <c r="F538" s="9" t="n">
        <f aca="false">IFERROR(__xludf.dummyfunction("""COMPUTED_VALUE"""),20000)</f>
        <v>20000</v>
      </c>
      <c r="G538" s="2" t="n">
        <f aca="false">IFERROR(__xludf.dummyfunction("""COMPUTED_VALUE"""),30)</f>
        <v>30</v>
      </c>
      <c r="H538" s="2" t="n">
        <f aca="false">IFERROR(__xludf.dummyfunction("""COMPUTED_VALUE"""),30)</f>
        <v>30</v>
      </c>
      <c r="I538" s="9" t="n">
        <f aca="false">IFERROR(__xludf.dummyfunction("""COMPUTED_VALUE"""),81600)</f>
        <v>81600</v>
      </c>
      <c r="J538" s="9" t="n">
        <f aca="false">IFERROR(__xludf.dummyfunction("""COMPUTED_VALUE"""),182)</f>
        <v>182</v>
      </c>
      <c r="K538" s="9"/>
      <c r="L538" s="9" t="n">
        <f aca="false">IFERROR(__xludf.dummyfunction("""COMPUTED_VALUE"""),0)</f>
        <v>0</v>
      </c>
      <c r="M538" s="9"/>
    </row>
    <row r="539" customFormat="false" ht="15.75" hidden="false" customHeight="false" outlineLevel="0" collapsed="false">
      <c r="A539" s="2" t="str">
        <f aca="false">IFERROR(__xludf.dummyfunction("""COMPUTED_VALUE"""),"SRCM/BMA/1126")</f>
        <v>SRCM/BMA/1126</v>
      </c>
      <c r="B539" s="2" t="str">
        <f aca="false">IFERROR(__xludf.dummyfunction("""COMPUTED_VALUE"""),"BALAMURUGAN V")</f>
        <v>BALAMURUGAN V</v>
      </c>
      <c r="C539" s="2" t="str">
        <f aca="false">IFERROR(__xludf.dummyfunction("""COMPUTED_VALUE"""),"SRCM-IT")</f>
        <v>SRCM-IT</v>
      </c>
      <c r="D539" s="2" t="str">
        <f aca="false">IFERROR(__xludf.dummyfunction("""COMPUTED_VALUE"""),"BMA")</f>
        <v>BMA</v>
      </c>
      <c r="E539" s="16" t="n">
        <f aca="false">IFERROR(__xludf.dummyfunction("""COMPUTED_VALUE"""),43611)</f>
        <v>43611</v>
      </c>
      <c r="F539" s="9" t="n">
        <f aca="false">IFERROR(__xludf.dummyfunction("""COMPUTED_VALUE"""),5000)</f>
        <v>5000</v>
      </c>
      <c r="G539" s="2" t="n">
        <f aca="false">IFERROR(__xludf.dummyfunction("""COMPUTED_VALUE"""),30)</f>
        <v>30</v>
      </c>
      <c r="H539" s="2" t="n">
        <f aca="false">IFERROR(__xludf.dummyfunction("""COMPUTED_VALUE"""),30)</f>
        <v>30</v>
      </c>
      <c r="I539" s="9" t="n">
        <f aca="false">IFERROR(__xludf.dummyfunction("""COMPUTED_VALUE"""),216000)</f>
        <v>216000</v>
      </c>
      <c r="J539" s="9" t="n">
        <f aca="false">IFERROR(__xludf.dummyfunction("""COMPUTED_VALUE"""),60)</f>
        <v>60</v>
      </c>
      <c r="K539" s="9"/>
      <c r="L539" s="9" t="n">
        <f aca="false">IFERROR(__xludf.dummyfunction("""COMPUTED_VALUE"""),0)</f>
        <v>0</v>
      </c>
      <c r="M539" s="9"/>
    </row>
    <row r="540" customFormat="false" ht="15.75" hidden="false" customHeight="false" outlineLevel="0" collapsed="false">
      <c r="A540" s="2" t="str">
        <f aca="false">IFERROR(__xludf.dummyfunction("""COMPUTED_VALUE"""),"SRCM/BMA/1197")</f>
        <v>SRCM/BMA/1197</v>
      </c>
      <c r="B540" s="2" t="str">
        <f aca="false">IFERROR(__xludf.dummyfunction("""COMPUTED_VALUE"""),"RITU BADAM")</f>
        <v>RITU BADAM</v>
      </c>
      <c r="C540" s="2" t="str">
        <f aca="false">IFERROR(__xludf.dummyfunction("""COMPUTED_VALUE"""),"SRCM-IT")</f>
        <v>SRCM-IT</v>
      </c>
      <c r="D540" s="2" t="str">
        <f aca="false">IFERROR(__xludf.dummyfunction("""COMPUTED_VALUE"""),"BMA")</f>
        <v>BMA</v>
      </c>
      <c r="E540" s="16" t="n">
        <f aca="false">IFERROR(__xludf.dummyfunction("""COMPUTED_VALUE"""),43717)</f>
        <v>43717</v>
      </c>
      <c r="F540" s="9" t="n">
        <f aca="false">IFERROR(__xludf.dummyfunction("""COMPUTED_VALUE"""),20000)</f>
        <v>20000</v>
      </c>
      <c r="G540" s="2" t="n">
        <f aca="false">IFERROR(__xludf.dummyfunction("""COMPUTED_VALUE"""),30)</f>
        <v>30</v>
      </c>
      <c r="H540" s="2" t="n">
        <f aca="false">IFERROR(__xludf.dummyfunction("""COMPUTED_VALUE"""),30)</f>
        <v>30</v>
      </c>
      <c r="I540" s="9" t="n">
        <f aca="false">IFERROR(__xludf.dummyfunction("""COMPUTED_VALUE"""),36000)</f>
        <v>36000</v>
      </c>
      <c r="J540" s="9" t="n">
        <f aca="false">IFERROR(__xludf.dummyfunction("""COMPUTED_VALUE"""),0)</f>
        <v>0</v>
      </c>
      <c r="K540" s="9"/>
      <c r="L540" s="9" t="n">
        <f aca="false">IFERROR(__xludf.dummyfunction("""COMPUTED_VALUE"""),0)</f>
        <v>0</v>
      </c>
      <c r="M540" s="9"/>
    </row>
    <row r="541" customFormat="false" ht="15.75" hidden="false" customHeight="false" outlineLevel="0" collapsed="false">
      <c r="A541" s="2" t="str">
        <f aca="false">IFERROR(__xludf.dummyfunction("""COMPUTED_VALUE"""),"SRCM/BMA/1255")</f>
        <v>SRCM/BMA/1255</v>
      </c>
      <c r="B541" s="2" t="str">
        <f aca="false">IFERROR(__xludf.dummyfunction("""COMPUTED_VALUE"""),"AMOL GOPAL KHANDELWAL")</f>
        <v>AMOL GOPAL KHANDELWAL</v>
      </c>
      <c r="C541" s="2" t="str">
        <f aca="false">IFERROR(__xludf.dummyfunction("""COMPUTED_VALUE"""),"SRCM-Accounts")</f>
        <v>SRCM-Accounts</v>
      </c>
      <c r="D541" s="2" t="str">
        <f aca="false">IFERROR(__xludf.dummyfunction("""COMPUTED_VALUE"""),"BMA")</f>
        <v>BMA</v>
      </c>
      <c r="E541" s="16" t="n">
        <f aca="false">IFERROR(__xludf.dummyfunction("""COMPUTED_VALUE"""),43728)</f>
        <v>43728</v>
      </c>
      <c r="F541" s="9" t="n">
        <f aca="false">IFERROR(__xludf.dummyfunction("""COMPUTED_VALUE"""),20000)</f>
        <v>20000</v>
      </c>
      <c r="G541" s="2" t="n">
        <f aca="false">IFERROR(__xludf.dummyfunction("""COMPUTED_VALUE"""),30)</f>
        <v>30</v>
      </c>
      <c r="H541" s="2" t="n">
        <f aca="false">IFERROR(__xludf.dummyfunction("""COMPUTED_VALUE"""),30)</f>
        <v>30</v>
      </c>
      <c r="I541" s="9" t="n">
        <f aca="false">IFERROR(__xludf.dummyfunction("""COMPUTED_VALUE"""),216000)</f>
        <v>216000</v>
      </c>
      <c r="J541" s="9" t="n">
        <f aca="false">IFERROR(__xludf.dummyfunction("""COMPUTED_VALUE"""),91)</f>
        <v>91</v>
      </c>
      <c r="K541" s="9"/>
      <c r="L541" s="9" t="n">
        <f aca="false">IFERROR(__xludf.dummyfunction("""COMPUTED_VALUE"""),2000)</f>
        <v>2000</v>
      </c>
      <c r="M541" s="9"/>
    </row>
    <row r="542" customFormat="false" ht="15.75" hidden="false" customHeight="false" outlineLevel="0" collapsed="false">
      <c r="A542" s="2" t="str">
        <f aca="false">IFERROR(__xludf.dummyfunction("""COMPUTED_VALUE"""),"SRCM/BMA/0019")</f>
        <v>SRCM/BMA/0019</v>
      </c>
      <c r="B542" s="2" t="str">
        <f aca="false">IFERROR(__xludf.dummyfunction("""COMPUTED_VALUE"""),"DILIP")</f>
        <v>DILIP</v>
      </c>
      <c r="C542" s="2" t="str">
        <f aca="false">IFERROR(__xludf.dummyfunction("""COMPUTED_VALUE"""),"SRCM-KITCHEN")</f>
        <v>SRCM-KITCHEN</v>
      </c>
      <c r="D542" s="2" t="str">
        <f aca="false">IFERROR(__xludf.dummyfunction("""COMPUTED_VALUE"""),"BMA")</f>
        <v>BMA</v>
      </c>
      <c r="E542" s="16" t="n">
        <f aca="false">IFERROR(__xludf.dummyfunction("""COMPUTED_VALUE"""),43857)</f>
        <v>43857</v>
      </c>
      <c r="F542" s="9" t="n">
        <f aca="false">IFERROR(__xludf.dummyfunction("""COMPUTED_VALUE"""),11000)</f>
        <v>11000</v>
      </c>
      <c r="G542" s="2" t="n">
        <f aca="false">IFERROR(__xludf.dummyfunction("""COMPUTED_VALUE"""),30)</f>
        <v>30</v>
      </c>
      <c r="H542" s="2" t="n">
        <f aca="false">IFERROR(__xludf.dummyfunction("""COMPUTED_VALUE"""),30)</f>
        <v>30</v>
      </c>
      <c r="I542" s="9" t="n">
        <f aca="false">IFERROR(__xludf.dummyfunction("""COMPUTED_VALUE"""),216000)</f>
        <v>216000</v>
      </c>
      <c r="J542" s="9" t="n">
        <f aca="false">IFERROR(__xludf.dummyfunction("""COMPUTED_VALUE"""),91)</f>
        <v>91</v>
      </c>
      <c r="K542" s="9"/>
      <c r="L542" s="9" t="n">
        <f aca="false">IFERROR(__xludf.dummyfunction("""COMPUTED_VALUE"""),0)</f>
        <v>0</v>
      </c>
      <c r="M542" s="9"/>
    </row>
    <row r="543" customFormat="false" ht="15.75" hidden="false" customHeight="false" outlineLevel="0" collapsed="false">
      <c r="A543" s="2" t="str">
        <f aca="false">IFERROR(__xludf.dummyfunction("""COMPUTED_VALUE"""),"SRCM/BMA/1387")</f>
        <v>SRCM/BMA/1387</v>
      </c>
      <c r="B543" s="2" t="str">
        <f aca="false">IFERROR(__xludf.dummyfunction("""COMPUTED_VALUE"""),"S.SHIVASHANKAR")</f>
        <v>S.SHIVASHANKAR</v>
      </c>
      <c r="C543" s="2" t="str">
        <f aca="false">IFERROR(__xludf.dummyfunction("""COMPUTED_VALUE"""),"SRCM-IT")</f>
        <v>SRCM-IT</v>
      </c>
      <c r="D543" s="2" t="str">
        <f aca="false">IFERROR(__xludf.dummyfunction("""COMPUTED_VALUE"""),"BMA")</f>
        <v>BMA</v>
      </c>
      <c r="E543" s="16" t="n">
        <f aca="false">IFERROR(__xludf.dummyfunction("""COMPUTED_VALUE"""),43854)</f>
        <v>43854</v>
      </c>
      <c r="F543" s="9" t="n">
        <f aca="false">IFERROR(__xludf.dummyfunction("""COMPUTED_VALUE"""),5000)</f>
        <v>5000</v>
      </c>
      <c r="G543" s="2" t="n">
        <f aca="false">IFERROR(__xludf.dummyfunction("""COMPUTED_VALUE"""),30)</f>
        <v>30</v>
      </c>
      <c r="H543" s="2" t="n">
        <f aca="false">IFERROR(__xludf.dummyfunction("""COMPUTED_VALUE"""),30)</f>
        <v>30</v>
      </c>
      <c r="I543" s="9" t="n">
        <f aca="false">IFERROR(__xludf.dummyfunction("""COMPUTED_VALUE"""),108000)</f>
        <v>108000</v>
      </c>
      <c r="J543" s="9" t="n">
        <f aca="false">IFERROR(__xludf.dummyfunction("""COMPUTED_VALUE"""),0)</f>
        <v>0</v>
      </c>
      <c r="K543" s="9"/>
      <c r="L543" s="9" t="n">
        <f aca="false">IFERROR(__xludf.dummyfunction("""COMPUTED_VALUE"""),0)</f>
        <v>0</v>
      </c>
      <c r="M543" s="9"/>
    </row>
    <row r="544" customFormat="false" ht="15.75" hidden="false" customHeight="false" outlineLevel="0" collapsed="false">
      <c r="A544" s="2" t="str">
        <f aca="false">IFERROR(__xludf.dummyfunction("""COMPUTED_VALUE"""),"SRCM/PUNE/0617")</f>
        <v>SRCM/PUNE/0617</v>
      </c>
      <c r="B544" s="2" t="str">
        <f aca="false">IFERROR(__xludf.dummyfunction("""COMPUTED_VALUE"""),"Kiran Pandurang Ingale")</f>
        <v>Kiran Pandurang Ingale</v>
      </c>
      <c r="C544" s="2" t="str">
        <f aca="false">IFERROR(__xludf.dummyfunction("""COMPUTED_VALUE"""),"Care Taker")</f>
        <v>Care Taker</v>
      </c>
      <c r="D544" s="2" t="str">
        <f aca="false">IFERROR(__xludf.dummyfunction("""COMPUTED_VALUE"""),"PUNE")</f>
        <v>PUNE</v>
      </c>
      <c r="E544" s="16" t="n">
        <f aca="false">IFERROR(__xludf.dummyfunction("""COMPUTED_VALUE"""),42006)</f>
        <v>42006</v>
      </c>
      <c r="F544" s="9" t="n">
        <f aca="false">IFERROR(__xludf.dummyfunction("""COMPUTED_VALUE"""),14520)</f>
        <v>14520</v>
      </c>
      <c r="G544" s="2" t="n">
        <f aca="false">IFERROR(__xludf.dummyfunction("""COMPUTED_VALUE"""),30)</f>
        <v>30</v>
      </c>
      <c r="H544" s="2" t="n">
        <f aca="false">IFERROR(__xludf.dummyfunction("""COMPUTED_VALUE"""),30)</f>
        <v>30</v>
      </c>
      <c r="I544" s="9" t="n">
        <f aca="false">IFERROR(__xludf.dummyfunction("""COMPUTED_VALUE"""),174240)</f>
        <v>174240</v>
      </c>
      <c r="J544" s="9" t="n">
        <f aca="false">IFERROR(__xludf.dummyfunction("""COMPUTED_VALUE"""),0)</f>
        <v>0</v>
      </c>
      <c r="K544" s="9" t="n">
        <f aca="false">IFERROR(__xludf.dummyfunction("""COMPUTED_VALUE"""),0)</f>
        <v>0</v>
      </c>
      <c r="L544" s="9"/>
      <c r="M544" s="9"/>
    </row>
    <row r="545" customFormat="false" ht="15.75" hidden="false" customHeight="false" outlineLevel="0" collapsed="false">
      <c r="A545" s="2" t="str">
        <f aca="false">IFERROR(__xludf.dummyfunction("""COMPUTED_VALUE"""),"SRCM/SAT/0506")</f>
        <v>SRCM/SAT/0506</v>
      </c>
      <c r="B545" s="2" t="str">
        <f aca="false">IFERROR(__xludf.dummyfunction("""COMPUTED_VALUE"""),"Sanjay Kumar jene")</f>
        <v>Sanjay Kumar jene</v>
      </c>
      <c r="C545" s="2" t="str">
        <f aca="false">IFERROR(__xludf.dummyfunction("""COMPUTED_VALUE"""),"Plumbing")</f>
        <v>Plumbing</v>
      </c>
      <c r="D545" s="2" t="str">
        <f aca="false">IFERROR(__xludf.dummyfunction("""COMPUTED_VALUE"""),"SATKHOL ")</f>
        <v>SATKHOL </v>
      </c>
      <c r="E545" s="16" t="n">
        <f aca="false">IFERROR(__xludf.dummyfunction("""COMPUTED_VALUE"""),36683)</f>
        <v>36683</v>
      </c>
      <c r="F545" s="9" t="n">
        <f aca="false">IFERROR(__xludf.dummyfunction("""COMPUTED_VALUE"""),14011)</f>
        <v>14011</v>
      </c>
      <c r="G545" s="2" t="n">
        <f aca="false">IFERROR(__xludf.dummyfunction("""COMPUTED_VALUE"""),30)</f>
        <v>30</v>
      </c>
      <c r="H545" s="2" t="n">
        <f aca="false">IFERROR(__xludf.dummyfunction("""COMPUTED_VALUE"""),30)</f>
        <v>30</v>
      </c>
      <c r="I545" s="9" t="n">
        <f aca="false">IFERROR(__xludf.dummyfunction("""COMPUTED_VALUE"""),168132)</f>
        <v>168132</v>
      </c>
      <c r="J545" s="9" t="n">
        <f aca="false">IFERROR(__xludf.dummyfunction("""COMPUTED_VALUE"""),271)</f>
        <v>271</v>
      </c>
      <c r="K545" s="9" t="n">
        <f aca="false">IFERROR(__xludf.dummyfunction("""COMPUTED_VALUE"""),0)</f>
        <v>0</v>
      </c>
      <c r="L545" s="9"/>
      <c r="M545" s="9"/>
    </row>
    <row r="546" customFormat="false" ht="15.75" hidden="false" customHeight="false" outlineLevel="0" collapsed="false">
      <c r="A546" s="2" t="str">
        <f aca="false">IFERROR(__xludf.dummyfunction("""COMPUTED_VALUE"""),"SRCM/SAT/0430")</f>
        <v>SRCM/SAT/0430</v>
      </c>
      <c r="B546" s="2" t="str">
        <f aca="false">IFERROR(__xludf.dummyfunction("""COMPUTED_VALUE"""),"Rajendra Singh Rawat")</f>
        <v>Rajendra Singh Rawat</v>
      </c>
      <c r="C546" s="2" t="str">
        <f aca="false">IFERROR(__xludf.dummyfunction("""COMPUTED_VALUE"""),"Security")</f>
        <v>Security</v>
      </c>
      <c r="D546" s="2" t="str">
        <f aca="false">IFERROR(__xludf.dummyfunction("""COMPUTED_VALUE"""),"SATKHOL ")</f>
        <v>SATKHOL </v>
      </c>
      <c r="E546" s="16" t="n">
        <f aca="false">IFERROR(__xludf.dummyfunction("""COMPUTED_VALUE"""),38905)</f>
        <v>38905</v>
      </c>
      <c r="F546" s="9" t="n">
        <f aca="false">IFERROR(__xludf.dummyfunction("""COMPUTED_VALUE"""),9400.9)</f>
        <v>9400.9</v>
      </c>
      <c r="G546" s="2" t="n">
        <f aca="false">IFERROR(__xludf.dummyfunction("""COMPUTED_VALUE"""),30)</f>
        <v>30</v>
      </c>
      <c r="H546" s="2" t="n">
        <f aca="false">IFERROR(__xludf.dummyfunction("""COMPUTED_VALUE"""),30)</f>
        <v>30</v>
      </c>
      <c r="I546" s="9" t="n">
        <f aca="false">IFERROR(__xludf.dummyfunction("""COMPUTED_VALUE"""),112810.8)</f>
        <v>112810.8</v>
      </c>
      <c r="J546" s="9" t="n">
        <f aca="false">IFERROR(__xludf.dummyfunction("""COMPUTED_VALUE"""),221)</f>
        <v>221</v>
      </c>
      <c r="K546" s="9" t="n">
        <f aca="false">IFERROR(__xludf.dummyfunction("""COMPUTED_VALUE"""),0)</f>
        <v>0</v>
      </c>
      <c r="L546" s="9"/>
      <c r="M546" s="9"/>
    </row>
    <row r="547" customFormat="false" ht="15.75" hidden="false" customHeight="false" outlineLevel="0" collapsed="false">
      <c r="A547" s="2" t="str">
        <f aca="false">IFERROR(__xludf.dummyfunction("""COMPUTED_VALUE"""),"SRCM/SAT/0429")</f>
        <v>SRCM/SAT/0429</v>
      </c>
      <c r="B547" s="2" t="str">
        <f aca="false">IFERROR(__xludf.dummyfunction("""COMPUTED_VALUE"""),"Rajendra Singh Latwal")</f>
        <v>Rajendra Singh Latwal</v>
      </c>
      <c r="C547" s="2" t="str">
        <f aca="false">IFERROR(__xludf.dummyfunction("""COMPUTED_VALUE"""),"Security")</f>
        <v>Security</v>
      </c>
      <c r="D547" s="2" t="str">
        <f aca="false">IFERROR(__xludf.dummyfunction("""COMPUTED_VALUE"""),"SATKHOL ")</f>
        <v>SATKHOL </v>
      </c>
      <c r="E547" s="16" t="n">
        <f aca="false">IFERROR(__xludf.dummyfunction("""COMPUTED_VALUE"""),39451)</f>
        <v>39451</v>
      </c>
      <c r="F547" s="9" t="n">
        <f aca="false">IFERROR(__xludf.dummyfunction("""COMPUTED_VALUE"""),9158.9)</f>
        <v>9158.9</v>
      </c>
      <c r="G547" s="2" t="n">
        <f aca="false">IFERROR(__xludf.dummyfunction("""COMPUTED_VALUE"""),30)</f>
        <v>30</v>
      </c>
      <c r="H547" s="2" t="n">
        <f aca="false">IFERROR(__xludf.dummyfunction("""COMPUTED_VALUE"""),30)</f>
        <v>30</v>
      </c>
      <c r="I547" s="9" t="n">
        <f aca="false">IFERROR(__xludf.dummyfunction("""COMPUTED_VALUE"""),109906.8)</f>
        <v>109906.8</v>
      </c>
      <c r="J547" s="9" t="n">
        <f aca="false">IFERROR(__xludf.dummyfunction("""COMPUTED_VALUE"""),315)</f>
        <v>315</v>
      </c>
      <c r="K547" s="9" t="n">
        <f aca="false">IFERROR(__xludf.dummyfunction("""COMPUTED_VALUE"""),0)</f>
        <v>0</v>
      </c>
      <c r="L547" s="9"/>
      <c r="M547" s="9"/>
    </row>
    <row r="548" customFormat="false" ht="15.75" hidden="false" customHeight="false" outlineLevel="0" collapsed="false">
      <c r="A548" s="2" t="str">
        <f aca="false">IFERROR(__xludf.dummyfunction("""COMPUTED_VALUE"""),"SRCM/SAT/0424")</f>
        <v>SRCM/SAT/0424</v>
      </c>
      <c r="B548" s="2" t="str">
        <f aca="false">IFERROR(__xludf.dummyfunction("""COMPUTED_VALUE"""),"Dungar Singh")</f>
        <v>Dungar Singh</v>
      </c>
      <c r="C548" s="2" t="str">
        <f aca="false">IFERROR(__xludf.dummyfunction("""COMPUTED_VALUE"""),"Security")</f>
        <v>Security</v>
      </c>
      <c r="D548" s="2" t="str">
        <f aca="false">IFERROR(__xludf.dummyfunction("""COMPUTED_VALUE"""),"SATKHOL ")</f>
        <v>SATKHOL </v>
      </c>
      <c r="E548" s="16" t="n">
        <f aca="false">IFERROR(__xludf.dummyfunction("""COMPUTED_VALUE"""),41551)</f>
        <v>41551</v>
      </c>
      <c r="F548" s="9" t="n">
        <f aca="false">IFERROR(__xludf.dummyfunction("""COMPUTED_VALUE"""),8541.8)</f>
        <v>8541.8</v>
      </c>
      <c r="G548" s="2" t="n">
        <f aca="false">IFERROR(__xludf.dummyfunction("""COMPUTED_VALUE"""),30)</f>
        <v>30</v>
      </c>
      <c r="H548" s="2" t="n">
        <f aca="false">IFERROR(__xludf.dummyfunction("""COMPUTED_VALUE"""),30)</f>
        <v>30</v>
      </c>
      <c r="I548" s="9" t="n">
        <f aca="false">IFERROR(__xludf.dummyfunction("""COMPUTED_VALUE"""),102501.6)</f>
        <v>102501.6</v>
      </c>
      <c r="J548" s="9" t="n">
        <f aca="false">IFERROR(__xludf.dummyfunction("""COMPUTED_VALUE"""),248)</f>
        <v>248</v>
      </c>
      <c r="K548" s="9" t="n">
        <f aca="false">IFERROR(__xludf.dummyfunction("""COMPUTED_VALUE"""),0)</f>
        <v>0</v>
      </c>
      <c r="L548" s="9"/>
      <c r="M548" s="9"/>
    </row>
    <row r="549" customFormat="false" ht="15.75" hidden="false" customHeight="false" outlineLevel="0" collapsed="false">
      <c r="A549" s="2" t="str">
        <f aca="false">IFERROR(__xludf.dummyfunction("""COMPUTED_VALUE"""),"SRCM/SAT/0427")</f>
        <v>SRCM/SAT/0427</v>
      </c>
      <c r="B549" s="2" t="str">
        <f aca="false">IFERROR(__xludf.dummyfunction("""COMPUTED_VALUE"""),"Mahendra Kumar")</f>
        <v>Mahendra Kumar</v>
      </c>
      <c r="C549" s="2" t="str">
        <f aca="false">IFERROR(__xludf.dummyfunction("""COMPUTED_VALUE"""),"Security")</f>
        <v>Security</v>
      </c>
      <c r="D549" s="2" t="str">
        <f aca="false">IFERROR(__xludf.dummyfunction("""COMPUTED_VALUE"""),"SATKHOL ")</f>
        <v>SATKHOL </v>
      </c>
      <c r="E549" s="16" t="n">
        <f aca="false">IFERROR(__xludf.dummyfunction("""COMPUTED_VALUE"""),42041)</f>
        <v>42041</v>
      </c>
      <c r="F549" s="9" t="n">
        <f aca="false">IFERROR(__xludf.dummyfunction("""COMPUTED_VALUE"""),8154.6)</f>
        <v>8154.6</v>
      </c>
      <c r="G549" s="2" t="n">
        <f aca="false">IFERROR(__xludf.dummyfunction("""COMPUTED_VALUE"""),30)</f>
        <v>30</v>
      </c>
      <c r="H549" s="2" t="n">
        <f aca="false">IFERROR(__xludf.dummyfunction("""COMPUTED_VALUE"""),30)</f>
        <v>30</v>
      </c>
      <c r="I549" s="9" t="n">
        <f aca="false">IFERROR(__xludf.dummyfunction("""COMPUTED_VALUE"""),97855.2)</f>
        <v>97855.2</v>
      </c>
      <c r="J549" s="9" t="n">
        <f aca="false">IFERROR(__xludf.dummyfunction("""COMPUTED_VALUE"""),177)</f>
        <v>177</v>
      </c>
      <c r="K549" s="9" t="n">
        <f aca="false">IFERROR(__xludf.dummyfunction("""COMPUTED_VALUE"""),0)</f>
        <v>0</v>
      </c>
      <c r="L549" s="9"/>
      <c r="M549" s="9"/>
    </row>
    <row r="550" customFormat="false" ht="15.75" hidden="false" customHeight="false" outlineLevel="0" collapsed="false">
      <c r="A550" s="2" t="str">
        <f aca="false">IFERROR(__xludf.dummyfunction("""COMPUTED_VALUE"""),"SRCM/SAT/0428")</f>
        <v>SRCM/SAT/0428</v>
      </c>
      <c r="B550" s="2" t="str">
        <f aca="false">IFERROR(__xludf.dummyfunction("""COMPUTED_VALUE"""),"Pramode Kumar")</f>
        <v>Pramode Kumar</v>
      </c>
      <c r="C550" s="2" t="str">
        <f aca="false">IFERROR(__xludf.dummyfunction("""COMPUTED_VALUE"""),"Security")</f>
        <v>Security</v>
      </c>
      <c r="D550" s="2" t="str">
        <f aca="false">IFERROR(__xludf.dummyfunction("""COMPUTED_VALUE"""),"SATKHOL ")</f>
        <v>SATKHOL </v>
      </c>
      <c r="E550" s="2"/>
      <c r="F550" s="9" t="n">
        <f aca="false">IFERROR(__xludf.dummyfunction("""COMPUTED_VALUE"""),8154.6)</f>
        <v>8154.6</v>
      </c>
      <c r="G550" s="2" t="n">
        <f aca="false">IFERROR(__xludf.dummyfunction("""COMPUTED_VALUE"""),30)</f>
        <v>30</v>
      </c>
      <c r="H550" s="2" t="n">
        <f aca="false">IFERROR(__xludf.dummyfunction("""COMPUTED_VALUE"""),30)</f>
        <v>30</v>
      </c>
      <c r="I550" s="9" t="n">
        <f aca="false">IFERROR(__xludf.dummyfunction("""COMPUTED_VALUE"""),97855.2)</f>
        <v>97855.2</v>
      </c>
      <c r="J550" s="9" t="n">
        <f aca="false">IFERROR(__xludf.dummyfunction("""COMPUTED_VALUE"""),177)</f>
        <v>177</v>
      </c>
      <c r="K550" s="9" t="n">
        <f aca="false">IFERROR(__xludf.dummyfunction("""COMPUTED_VALUE"""),0)</f>
        <v>0</v>
      </c>
      <c r="L550" s="9"/>
      <c r="M550" s="9"/>
    </row>
    <row r="551" customFormat="false" ht="15.75" hidden="false" customHeight="false" outlineLevel="0" collapsed="false">
      <c r="A551" s="2" t="str">
        <f aca="false">IFERROR(__xludf.dummyfunction("""COMPUTED_VALUE"""),"SRCM/SAT/0418")</f>
        <v>SRCM/SAT/0418</v>
      </c>
      <c r="B551" s="2" t="str">
        <f aca="false">IFERROR(__xludf.dummyfunction("""COMPUTED_VALUE"""),"Bhuvendra Singh")</f>
        <v>Bhuvendra Singh</v>
      </c>
      <c r="C551" s="2" t="str">
        <f aca="false">IFERROR(__xludf.dummyfunction("""COMPUTED_VALUE"""),"Security")</f>
        <v>Security</v>
      </c>
      <c r="D551" s="2" t="str">
        <f aca="false">IFERROR(__xludf.dummyfunction("""COMPUTED_VALUE"""),"SATKHOL ")</f>
        <v>SATKHOL </v>
      </c>
      <c r="E551" s="16" t="n">
        <f aca="false">IFERROR(__xludf.dummyfunction("""COMPUTED_VALUE"""),42376)</f>
        <v>42376</v>
      </c>
      <c r="F551" s="9" t="n">
        <f aca="false">IFERROR(__xludf.dummyfunction("""COMPUTED_VALUE"""),7840)</f>
        <v>7840</v>
      </c>
      <c r="G551" s="2" t="n">
        <f aca="false">IFERROR(__xludf.dummyfunction("""COMPUTED_VALUE"""),30)</f>
        <v>30</v>
      </c>
      <c r="H551" s="2" t="n">
        <f aca="false">IFERROR(__xludf.dummyfunction("""COMPUTED_VALUE"""),30)</f>
        <v>30</v>
      </c>
      <c r="I551" s="9" t="n">
        <f aca="false">IFERROR(__xludf.dummyfunction("""COMPUTED_VALUE"""),94080)</f>
        <v>94080</v>
      </c>
      <c r="J551" s="9" t="n">
        <f aca="false">IFERROR(__xludf.dummyfunction("""COMPUTED_VALUE"""),67)</f>
        <v>67</v>
      </c>
      <c r="K551" s="9" t="n">
        <f aca="false">IFERROR(__xludf.dummyfunction("""COMPUTED_VALUE"""),0)</f>
        <v>0</v>
      </c>
      <c r="L551" s="9"/>
      <c r="M551" s="9"/>
    </row>
    <row r="552" customFormat="false" ht="15.75" hidden="false" customHeight="false" outlineLevel="0" collapsed="false">
      <c r="A552" s="2" t="str">
        <f aca="false">IFERROR(__xludf.dummyfunction("""COMPUTED_VALUE"""),"SRCM/SAT/0425")</f>
        <v>SRCM/SAT/0425</v>
      </c>
      <c r="B552" s="2" t="str">
        <f aca="false">IFERROR(__xludf.dummyfunction("""COMPUTED_VALUE"""),"Govind Singh")</f>
        <v>Govind Singh</v>
      </c>
      <c r="C552" s="2" t="str">
        <f aca="false">IFERROR(__xludf.dummyfunction("""COMPUTED_VALUE"""),"Security")</f>
        <v>Security</v>
      </c>
      <c r="D552" s="2" t="str">
        <f aca="false">IFERROR(__xludf.dummyfunction("""COMPUTED_VALUE"""),"SATKHOL ")</f>
        <v>SATKHOL </v>
      </c>
      <c r="E552" s="2"/>
      <c r="F552" s="9" t="n">
        <f aca="false">IFERROR(__xludf.dummyfunction("""COMPUTED_VALUE"""),7840)</f>
        <v>7840</v>
      </c>
      <c r="G552" s="2" t="n">
        <f aca="false">IFERROR(__xludf.dummyfunction("""COMPUTED_VALUE"""),30)</f>
        <v>30</v>
      </c>
      <c r="H552" s="2" t="n">
        <f aca="false">IFERROR(__xludf.dummyfunction("""COMPUTED_VALUE"""),30)</f>
        <v>30</v>
      </c>
      <c r="I552" s="9" t="n">
        <f aca="false">IFERROR(__xludf.dummyfunction("""COMPUTED_VALUE"""),94080)</f>
        <v>94080</v>
      </c>
      <c r="J552" s="9" t="n">
        <f aca="false">IFERROR(__xludf.dummyfunction("""COMPUTED_VALUE"""),177)</f>
        <v>177</v>
      </c>
      <c r="K552" s="9" t="n">
        <f aca="false">IFERROR(__xludf.dummyfunction("""COMPUTED_VALUE"""),0)</f>
        <v>0</v>
      </c>
      <c r="L552" s="9"/>
      <c r="M552" s="9"/>
    </row>
    <row r="553" customFormat="false" ht="15.75" hidden="false" customHeight="false" outlineLevel="0" collapsed="false">
      <c r="A553" s="2" t="str">
        <f aca="false">IFERROR(__xludf.dummyfunction("""COMPUTED_VALUE"""),"SRCM/SAT/0435")</f>
        <v>SRCM/SAT/0435</v>
      </c>
      <c r="B553" s="2" t="str">
        <f aca="false">IFERROR(__xludf.dummyfunction("""COMPUTED_VALUE"""),"Harendra Singh")</f>
        <v>Harendra Singh</v>
      </c>
      <c r="C553" s="2" t="str">
        <f aca="false">IFERROR(__xludf.dummyfunction("""COMPUTED_VALUE"""),"Electrical")</f>
        <v>Electrical</v>
      </c>
      <c r="D553" s="2" t="str">
        <f aca="false">IFERROR(__xludf.dummyfunction("""COMPUTED_VALUE"""),"SATKHOL ")</f>
        <v>SATKHOL </v>
      </c>
      <c r="E553" s="2"/>
      <c r="F553" s="9" t="n">
        <f aca="false">IFERROR(__xludf.dummyfunction("""COMPUTED_VALUE"""),10247.9)</f>
        <v>10247.9</v>
      </c>
      <c r="G553" s="2" t="n">
        <f aca="false">IFERROR(__xludf.dummyfunction("""COMPUTED_VALUE"""),30)</f>
        <v>30</v>
      </c>
      <c r="H553" s="2" t="n">
        <f aca="false">IFERROR(__xludf.dummyfunction("""COMPUTED_VALUE"""),30)</f>
        <v>30</v>
      </c>
      <c r="I553" s="9" t="n">
        <f aca="false">IFERROR(__xludf.dummyfunction("""COMPUTED_VALUE"""),122974.8)</f>
        <v>122974.8</v>
      </c>
      <c r="J553" s="9" t="n">
        <f aca="false">IFERROR(__xludf.dummyfunction("""COMPUTED_VALUE"""),177)</f>
        <v>177</v>
      </c>
      <c r="K553" s="9" t="n">
        <f aca="false">IFERROR(__xludf.dummyfunction("""COMPUTED_VALUE"""),0)</f>
        <v>0</v>
      </c>
      <c r="L553" s="9"/>
      <c r="M553" s="9"/>
    </row>
    <row r="554" customFormat="false" ht="15.75" hidden="false" customHeight="false" outlineLevel="0" collapsed="false">
      <c r="A554" s="2" t="str">
        <f aca="false">IFERROR(__xludf.dummyfunction("""COMPUTED_VALUE"""),"SRCM/SAT/0433")</f>
        <v>SRCM/SAT/0433</v>
      </c>
      <c r="B554" s="2" t="str">
        <f aca="false">IFERROR(__xludf.dummyfunction("""COMPUTED_VALUE"""),"Girish  Ram")</f>
        <v>Girish  Ram</v>
      </c>
      <c r="C554" s="2" t="str">
        <f aca="false">IFERROR(__xludf.dummyfunction("""COMPUTED_VALUE"""),"Sanitation")</f>
        <v>Sanitation</v>
      </c>
      <c r="D554" s="2" t="str">
        <f aca="false">IFERROR(__xludf.dummyfunction("""COMPUTED_VALUE"""),"SATKHOL ")</f>
        <v>SATKHOL </v>
      </c>
      <c r="E554" s="16" t="n">
        <f aca="false">IFERROR(__xludf.dummyfunction("""COMPUTED_VALUE"""),40330)</f>
        <v>40330</v>
      </c>
      <c r="F554" s="9" t="n">
        <f aca="false">IFERROR(__xludf.dummyfunction("""COMPUTED_VALUE"""),8541.8)</f>
        <v>8541.8</v>
      </c>
      <c r="G554" s="2" t="n">
        <f aca="false">IFERROR(__xludf.dummyfunction("""COMPUTED_VALUE"""),30)</f>
        <v>30</v>
      </c>
      <c r="H554" s="2" t="n">
        <f aca="false">IFERROR(__xludf.dummyfunction("""COMPUTED_VALUE"""),30)</f>
        <v>30</v>
      </c>
      <c r="I554" s="9" t="n">
        <f aca="false">IFERROR(__xludf.dummyfunction("""COMPUTED_VALUE"""),102501.6)</f>
        <v>102501.6</v>
      </c>
      <c r="J554" s="9" t="n">
        <f aca="false">IFERROR(__xludf.dummyfunction("""COMPUTED_VALUE"""),278)</f>
        <v>278</v>
      </c>
      <c r="K554" s="9" t="n">
        <f aca="false">IFERROR(__xludf.dummyfunction("""COMPUTED_VALUE"""),0)</f>
        <v>0</v>
      </c>
      <c r="L554" s="9"/>
      <c r="M554" s="9"/>
    </row>
    <row r="555" customFormat="false" ht="15.75" hidden="false" customHeight="false" outlineLevel="0" collapsed="false">
      <c r="A555" s="2" t="str">
        <f aca="false">IFERROR(__xludf.dummyfunction("""COMPUTED_VALUE"""),"SRCM/SAT/0417")</f>
        <v>SRCM/SAT/0417</v>
      </c>
      <c r="B555" s="2" t="str">
        <f aca="false">IFERROR(__xludf.dummyfunction("""COMPUTED_VALUE"""),"Virendra Kumar")</f>
        <v>Virendra Kumar</v>
      </c>
      <c r="C555" s="2" t="str">
        <f aca="false">IFERROR(__xludf.dummyfunction("""COMPUTED_VALUE"""),"Sanitation")</f>
        <v>Sanitation</v>
      </c>
      <c r="D555" s="2" t="str">
        <f aca="false">IFERROR(__xludf.dummyfunction("""COMPUTED_VALUE"""),"SATKHOL ")</f>
        <v>SATKHOL </v>
      </c>
      <c r="E555" s="16" t="n">
        <f aca="false">IFERROR(__xludf.dummyfunction("""COMPUTED_VALUE"""),42890)</f>
        <v>42890</v>
      </c>
      <c r="F555" s="9" t="n">
        <f aca="false">IFERROR(__xludf.dummyfunction("""COMPUTED_VALUE"""),7840)</f>
        <v>7840</v>
      </c>
      <c r="G555" s="2" t="n">
        <f aca="false">IFERROR(__xludf.dummyfunction("""COMPUTED_VALUE"""),30)</f>
        <v>30</v>
      </c>
      <c r="H555" s="2" t="n">
        <f aca="false">IFERROR(__xludf.dummyfunction("""COMPUTED_VALUE"""),30)</f>
        <v>30</v>
      </c>
      <c r="I555" s="9" t="n">
        <f aca="false">IFERROR(__xludf.dummyfunction("""COMPUTED_VALUE"""),94080)</f>
        <v>94080</v>
      </c>
      <c r="J555" s="9" t="n">
        <f aca="false">IFERROR(__xludf.dummyfunction("""COMPUTED_VALUE"""),221)</f>
        <v>221</v>
      </c>
      <c r="K555" s="9" t="n">
        <f aca="false">IFERROR(__xludf.dummyfunction("""COMPUTED_VALUE"""),0)</f>
        <v>0</v>
      </c>
      <c r="L555" s="9"/>
      <c r="M555" s="9"/>
    </row>
    <row r="556" customFormat="false" ht="15.75" hidden="false" customHeight="false" outlineLevel="0" collapsed="false">
      <c r="A556" s="2" t="str">
        <f aca="false">IFERROR(__xludf.dummyfunction("""COMPUTED_VALUE"""),"SRCM/SAT/0432")</f>
        <v>SRCM/SAT/0432</v>
      </c>
      <c r="B556" s="2" t="str">
        <f aca="false">IFERROR(__xludf.dummyfunction("""COMPUTED_VALUE"""),"Chandra Prakash Singh")</f>
        <v>Chandra Prakash Singh</v>
      </c>
      <c r="C556" s="2" t="str">
        <f aca="false">IFERROR(__xludf.dummyfunction("""COMPUTED_VALUE"""),"Kitchen")</f>
        <v>Kitchen</v>
      </c>
      <c r="D556" s="2" t="str">
        <f aca="false">IFERROR(__xludf.dummyfunction("""COMPUTED_VALUE"""),"SATKHOL ")</f>
        <v>SATKHOL </v>
      </c>
      <c r="E556" s="16" t="n">
        <f aca="false">IFERROR(__xludf.dummyfunction("""COMPUTED_VALUE"""),36893)</f>
        <v>36893</v>
      </c>
      <c r="F556" s="9" t="n">
        <f aca="false">IFERROR(__xludf.dummyfunction("""COMPUTED_VALUE"""),12692.1)</f>
        <v>12692.1</v>
      </c>
      <c r="G556" s="2" t="n">
        <f aca="false">IFERROR(__xludf.dummyfunction("""COMPUTED_VALUE"""),30)</f>
        <v>30</v>
      </c>
      <c r="H556" s="2" t="n">
        <f aca="false">IFERROR(__xludf.dummyfunction("""COMPUTED_VALUE"""),30)</f>
        <v>30</v>
      </c>
      <c r="I556" s="9" t="n">
        <f aca="false">IFERROR(__xludf.dummyfunction("""COMPUTED_VALUE"""),152305.2)</f>
        <v>152305.2</v>
      </c>
      <c r="J556" s="9" t="n">
        <f aca="false">IFERROR(__xludf.dummyfunction("""COMPUTED_VALUE"""),285)</f>
        <v>285</v>
      </c>
      <c r="K556" s="9" t="n">
        <f aca="false">IFERROR(__xludf.dummyfunction("""COMPUTED_VALUE"""),0)</f>
        <v>0</v>
      </c>
      <c r="L556" s="9"/>
      <c r="M556" s="9"/>
    </row>
    <row r="557" customFormat="false" ht="15.75" hidden="false" customHeight="false" outlineLevel="0" collapsed="false">
      <c r="A557" s="2" t="str">
        <f aca="false">IFERROR(__xludf.dummyfunction("""COMPUTED_VALUE"""),"SRCM/SAT/0434")</f>
        <v>SRCM/SAT/0434</v>
      </c>
      <c r="B557" s="2" t="str">
        <f aca="false">IFERROR(__xludf.dummyfunction("""COMPUTED_VALUE"""),"Harendra Jeena")</f>
        <v>Harendra Jeena</v>
      </c>
      <c r="C557" s="2" t="str">
        <f aca="false">IFERROR(__xludf.dummyfunction("""COMPUTED_VALUE"""),"Kitchen")</f>
        <v>Kitchen</v>
      </c>
      <c r="D557" s="2" t="str">
        <f aca="false">IFERROR(__xludf.dummyfunction("""COMPUTED_VALUE"""),"SATKHOL ")</f>
        <v>SATKHOL </v>
      </c>
      <c r="E557" s="2"/>
      <c r="F557" s="9" t="n">
        <f aca="false">IFERROR(__xludf.dummyfunction("""COMPUTED_VALUE"""),9413)</f>
        <v>9413</v>
      </c>
      <c r="G557" s="2" t="n">
        <f aca="false">IFERROR(__xludf.dummyfunction("""COMPUTED_VALUE"""),30)</f>
        <v>30</v>
      </c>
      <c r="H557" s="2" t="n">
        <f aca="false">IFERROR(__xludf.dummyfunction("""COMPUTED_VALUE"""),30)</f>
        <v>30</v>
      </c>
      <c r="I557" s="9" t="n">
        <f aca="false">IFERROR(__xludf.dummyfunction("""COMPUTED_VALUE"""),112956)</f>
        <v>112956</v>
      </c>
      <c r="J557" s="9" t="n">
        <f aca="false">IFERROR(__xludf.dummyfunction("""COMPUTED_VALUE"""),154)</f>
        <v>154</v>
      </c>
      <c r="K557" s="9" t="n">
        <f aca="false">IFERROR(__xludf.dummyfunction("""COMPUTED_VALUE"""),0)</f>
        <v>0</v>
      </c>
      <c r="L557" s="9"/>
      <c r="M557" s="9"/>
    </row>
    <row r="558" customFormat="false" ht="15.75" hidden="false" customHeight="false" outlineLevel="0" collapsed="false">
      <c r="A558" s="2" t="str">
        <f aca="false">IFERROR(__xludf.dummyfunction("""COMPUTED_VALUE"""),"SRCM/SAT/0615")</f>
        <v>SRCM/SAT/0615</v>
      </c>
      <c r="B558" s="2" t="str">
        <f aca="false">IFERROR(__xludf.dummyfunction("""COMPUTED_VALUE"""),"Gaura Singh")</f>
        <v>Gaura Singh</v>
      </c>
      <c r="C558" s="2" t="str">
        <f aca="false">IFERROR(__xludf.dummyfunction("""COMPUTED_VALUE"""),"Garden")</f>
        <v>Garden</v>
      </c>
      <c r="D558" s="2" t="str">
        <f aca="false">IFERROR(__xludf.dummyfunction("""COMPUTED_VALUE"""),"SATKHOL ")</f>
        <v>SATKHOL </v>
      </c>
      <c r="E558" s="16" t="n">
        <f aca="false">IFERROR(__xludf.dummyfunction("""COMPUTED_VALUE"""),36894)</f>
        <v>36894</v>
      </c>
      <c r="F558" s="9" t="n">
        <f aca="false">IFERROR(__xludf.dummyfunction("""COMPUTED_VALUE"""),11397.4)</f>
        <v>11397.4</v>
      </c>
      <c r="G558" s="2" t="n">
        <f aca="false">IFERROR(__xludf.dummyfunction("""COMPUTED_VALUE"""),30)</f>
        <v>30</v>
      </c>
      <c r="H558" s="2" t="n">
        <f aca="false">IFERROR(__xludf.dummyfunction("""COMPUTED_VALUE"""),30)</f>
        <v>30</v>
      </c>
      <c r="I558" s="9" t="n">
        <f aca="false">IFERROR(__xludf.dummyfunction("""COMPUTED_VALUE"""),136768.8)</f>
        <v>136768.8</v>
      </c>
      <c r="J558" s="9" t="n">
        <f aca="false">IFERROR(__xludf.dummyfunction("""COMPUTED_VALUE"""),474)</f>
        <v>474</v>
      </c>
      <c r="K558" s="9" t="n">
        <f aca="false">IFERROR(__xludf.dummyfunction("""COMPUTED_VALUE"""),0)</f>
        <v>0</v>
      </c>
      <c r="L558" s="9"/>
      <c r="M558" s="9"/>
    </row>
    <row r="559" customFormat="false" ht="15.75" hidden="false" customHeight="false" outlineLevel="0" collapsed="false">
      <c r="A559" s="2" t="str">
        <f aca="false">IFERROR(__xludf.dummyfunction("""COMPUTED_VALUE"""),"SRCM/SAT/0508")</f>
        <v>SRCM/SAT/0508</v>
      </c>
      <c r="B559" s="2" t="str">
        <f aca="false">IFERROR(__xludf.dummyfunction("""COMPUTED_VALUE"""),"Harendra Singh")</f>
        <v>Harendra Singh</v>
      </c>
      <c r="C559" s="2" t="str">
        <f aca="false">IFERROR(__xludf.dummyfunction("""COMPUTED_VALUE"""),"Garden")</f>
        <v>Garden</v>
      </c>
      <c r="D559" s="2" t="str">
        <f aca="false">IFERROR(__xludf.dummyfunction("""COMPUTED_VALUE"""),"SATKHOL ")</f>
        <v>SATKHOL </v>
      </c>
      <c r="E559" s="16" t="n">
        <f aca="false">IFERROR(__xludf.dummyfunction("""COMPUTED_VALUE"""),38019)</f>
        <v>38019</v>
      </c>
      <c r="F559" s="9" t="n">
        <f aca="false">IFERROR(__xludf.dummyfunction("""COMPUTED_VALUE"""),11167.5)</f>
        <v>11167.5</v>
      </c>
      <c r="G559" s="2" t="n">
        <f aca="false">IFERROR(__xludf.dummyfunction("""COMPUTED_VALUE"""),30)</f>
        <v>30</v>
      </c>
      <c r="H559" s="2" t="n">
        <f aca="false">IFERROR(__xludf.dummyfunction("""COMPUTED_VALUE"""),30)</f>
        <v>30</v>
      </c>
      <c r="I559" s="9" t="n">
        <f aca="false">IFERROR(__xludf.dummyfunction("""COMPUTED_VALUE"""),134010)</f>
        <v>134010</v>
      </c>
      <c r="J559" s="9" t="n">
        <f aca="false">IFERROR(__xludf.dummyfunction("""COMPUTED_VALUE"""),234)</f>
        <v>234</v>
      </c>
      <c r="K559" s="9" t="n">
        <f aca="false">IFERROR(__xludf.dummyfunction("""COMPUTED_VALUE"""),0)</f>
        <v>0</v>
      </c>
      <c r="L559" s="9"/>
      <c r="M559" s="9"/>
    </row>
    <row r="560" customFormat="false" ht="15.75" hidden="false" customHeight="false" outlineLevel="0" collapsed="false">
      <c r="A560" s="2" t="str">
        <f aca="false">IFERROR(__xludf.dummyfunction("""COMPUTED_VALUE"""),"SRCM/SAT/0509")</f>
        <v>SRCM/SAT/0509</v>
      </c>
      <c r="B560" s="2" t="str">
        <f aca="false">IFERROR(__xludf.dummyfunction("""COMPUTED_VALUE"""),"Birendra Singh")</f>
        <v>Birendra Singh</v>
      </c>
      <c r="C560" s="2" t="str">
        <f aca="false">IFERROR(__xludf.dummyfunction("""COMPUTED_VALUE"""),"Garden")</f>
        <v>Garden</v>
      </c>
      <c r="D560" s="2" t="str">
        <f aca="false">IFERROR(__xludf.dummyfunction("""COMPUTED_VALUE"""),"SATKHOL ")</f>
        <v>SATKHOL </v>
      </c>
      <c r="E560" s="16" t="n">
        <f aca="false">IFERROR(__xludf.dummyfunction("""COMPUTED_VALUE"""),38354)</f>
        <v>38354</v>
      </c>
      <c r="F560" s="9" t="n">
        <f aca="false">IFERROR(__xludf.dummyfunction("""COMPUTED_VALUE"""),9872.8)</f>
        <v>9872.8</v>
      </c>
      <c r="G560" s="2" t="n">
        <f aca="false">IFERROR(__xludf.dummyfunction("""COMPUTED_VALUE"""),30)</f>
        <v>30</v>
      </c>
      <c r="H560" s="2" t="n">
        <f aca="false">IFERROR(__xludf.dummyfunction("""COMPUTED_VALUE"""),30)</f>
        <v>30</v>
      </c>
      <c r="I560" s="9" t="n">
        <f aca="false">IFERROR(__xludf.dummyfunction("""COMPUTED_VALUE"""),118473.6)</f>
        <v>118473.6</v>
      </c>
      <c r="J560" s="9" t="n">
        <f aca="false">IFERROR(__xludf.dummyfunction("""COMPUTED_VALUE"""),221)</f>
        <v>221</v>
      </c>
      <c r="K560" s="9" t="n">
        <f aca="false">IFERROR(__xludf.dummyfunction("""COMPUTED_VALUE"""),0)</f>
        <v>0</v>
      </c>
      <c r="L560" s="9"/>
      <c r="M560" s="9"/>
    </row>
    <row r="561" customFormat="false" ht="15.75" hidden="false" customHeight="false" outlineLevel="0" collapsed="false">
      <c r="A561" s="2" t="str">
        <f aca="false">IFERROR(__xludf.dummyfunction("""COMPUTED_VALUE"""),"SRCM/SAT/0510")</f>
        <v>SRCM/SAT/0510</v>
      </c>
      <c r="B561" s="2" t="str">
        <f aca="false">IFERROR(__xludf.dummyfunction("""COMPUTED_VALUE"""),"Ganesh Tiwari")</f>
        <v>Ganesh Tiwari</v>
      </c>
      <c r="C561" s="2" t="str">
        <f aca="false">IFERROR(__xludf.dummyfunction("""COMPUTED_VALUE"""),"Garden")</f>
        <v>Garden</v>
      </c>
      <c r="D561" s="2" t="str">
        <f aca="false">IFERROR(__xludf.dummyfunction("""COMPUTED_VALUE"""),"SATKHOL ")</f>
        <v>SATKHOL </v>
      </c>
      <c r="E561" s="16" t="n">
        <f aca="false">IFERROR(__xludf.dummyfunction("""COMPUTED_VALUE"""),37966)</f>
        <v>37966</v>
      </c>
      <c r="F561" s="9" t="n">
        <f aca="false">IFERROR(__xludf.dummyfunction("""COMPUTED_VALUE"""),10042.2)</f>
        <v>10042.2</v>
      </c>
      <c r="G561" s="2" t="n">
        <f aca="false">IFERROR(__xludf.dummyfunction("""COMPUTED_VALUE"""),30)</f>
        <v>30</v>
      </c>
      <c r="H561" s="2" t="n">
        <f aca="false">IFERROR(__xludf.dummyfunction("""COMPUTED_VALUE"""),30)</f>
        <v>30</v>
      </c>
      <c r="I561" s="9" t="n">
        <f aca="false">IFERROR(__xludf.dummyfunction("""COMPUTED_VALUE"""),120506.4)</f>
        <v>120506.4</v>
      </c>
      <c r="J561" s="9" t="n">
        <f aca="false">IFERROR(__xludf.dummyfunction("""COMPUTED_VALUE"""),221)</f>
        <v>221</v>
      </c>
      <c r="K561" s="9" t="n">
        <f aca="false">IFERROR(__xludf.dummyfunction("""COMPUTED_VALUE"""),0)</f>
        <v>0</v>
      </c>
      <c r="L561" s="9"/>
      <c r="M561" s="9"/>
    </row>
    <row r="562" customFormat="false" ht="15.75" hidden="false" customHeight="false" outlineLevel="0" collapsed="false">
      <c r="A562" s="2" t="str">
        <f aca="false">IFERROR(__xludf.dummyfunction("""COMPUTED_VALUE"""),"SRCM/SAT/0511")</f>
        <v>SRCM/SAT/0511</v>
      </c>
      <c r="B562" s="2" t="str">
        <f aca="false">IFERROR(__xludf.dummyfunction("""COMPUTED_VALUE"""),"Om Prakash")</f>
        <v>Om Prakash</v>
      </c>
      <c r="C562" s="2" t="str">
        <f aca="false">IFERROR(__xludf.dummyfunction("""COMPUTED_VALUE"""),"Garden")</f>
        <v>Garden</v>
      </c>
      <c r="D562" s="2" t="str">
        <f aca="false">IFERROR(__xludf.dummyfunction("""COMPUTED_VALUE"""),"SATKHOL ")</f>
        <v>SATKHOL </v>
      </c>
      <c r="E562" s="16" t="n">
        <f aca="false">IFERROR(__xludf.dummyfunction("""COMPUTED_VALUE"""),39094)</f>
        <v>39094</v>
      </c>
      <c r="F562" s="9" t="n">
        <f aca="false">IFERROR(__xludf.dummyfunction("""COMPUTED_VALUE"""),10042.2)</f>
        <v>10042.2</v>
      </c>
      <c r="G562" s="2" t="n">
        <f aca="false">IFERROR(__xludf.dummyfunction("""COMPUTED_VALUE"""),30)</f>
        <v>30</v>
      </c>
      <c r="H562" s="2" t="n">
        <f aca="false">IFERROR(__xludf.dummyfunction("""COMPUTED_VALUE"""),30)</f>
        <v>30</v>
      </c>
      <c r="I562" s="9" t="n">
        <f aca="false">IFERROR(__xludf.dummyfunction("""COMPUTED_VALUE"""),120506.4)</f>
        <v>120506.4</v>
      </c>
      <c r="J562" s="9" t="n">
        <f aca="false">IFERROR(__xludf.dummyfunction("""COMPUTED_VALUE"""),278)</f>
        <v>278</v>
      </c>
      <c r="K562" s="9" t="n">
        <f aca="false">IFERROR(__xludf.dummyfunction("""COMPUTED_VALUE"""),0)</f>
        <v>0</v>
      </c>
      <c r="L562" s="9"/>
      <c r="M562" s="9"/>
    </row>
    <row r="563" customFormat="false" ht="15.75" hidden="false" customHeight="false" outlineLevel="0" collapsed="false">
      <c r="A563" s="2" t="str">
        <f aca="false">IFERROR(__xludf.dummyfunction("""COMPUTED_VALUE"""),"SRCM/SAT/0512")</f>
        <v>SRCM/SAT/0512</v>
      </c>
      <c r="B563" s="2" t="str">
        <f aca="false">IFERROR(__xludf.dummyfunction("""COMPUTED_VALUE"""),"Rajendra singh")</f>
        <v>Rajendra singh</v>
      </c>
      <c r="C563" s="2" t="str">
        <f aca="false">IFERROR(__xludf.dummyfunction("""COMPUTED_VALUE"""),"Garden")</f>
        <v>Garden</v>
      </c>
      <c r="D563" s="2" t="str">
        <f aca="false">IFERROR(__xludf.dummyfunction("""COMPUTED_VALUE"""),"SATKHOL ")</f>
        <v>SATKHOL </v>
      </c>
      <c r="E563" s="16" t="n">
        <f aca="false">IFERROR(__xludf.dummyfunction("""COMPUTED_VALUE"""),40919)</f>
        <v>40919</v>
      </c>
      <c r="F563" s="9" t="n">
        <f aca="false">IFERROR(__xludf.dummyfunction("""COMPUTED_VALUE"""),8541.8)</f>
        <v>8541.8</v>
      </c>
      <c r="G563" s="2" t="n">
        <f aca="false">IFERROR(__xludf.dummyfunction("""COMPUTED_VALUE"""),30)</f>
        <v>30</v>
      </c>
      <c r="H563" s="2" t="n">
        <f aca="false">IFERROR(__xludf.dummyfunction("""COMPUTED_VALUE"""),30)</f>
        <v>30</v>
      </c>
      <c r="I563" s="9" t="n">
        <f aca="false">IFERROR(__xludf.dummyfunction("""COMPUTED_VALUE"""),102501.6)</f>
        <v>102501.6</v>
      </c>
      <c r="J563" s="9" t="n">
        <f aca="false">IFERROR(__xludf.dummyfunction("""COMPUTED_VALUE"""),221)</f>
        <v>221</v>
      </c>
      <c r="K563" s="9" t="n">
        <f aca="false">IFERROR(__xludf.dummyfunction("""COMPUTED_VALUE"""),0)</f>
        <v>0</v>
      </c>
      <c r="L563" s="9"/>
      <c r="M563" s="9"/>
    </row>
    <row r="564" customFormat="false" ht="15.75" hidden="false" customHeight="false" outlineLevel="0" collapsed="false">
      <c r="A564" s="2" t="str">
        <f aca="false">IFERROR(__xludf.dummyfunction("""COMPUTED_VALUE"""),"SRCM/SAT/0513")</f>
        <v>SRCM/SAT/0513</v>
      </c>
      <c r="B564" s="2" t="str">
        <f aca="false">IFERROR(__xludf.dummyfunction("""COMPUTED_VALUE"""),"Manmohan Singh")</f>
        <v>Manmohan Singh</v>
      </c>
      <c r="C564" s="2" t="str">
        <f aca="false">IFERROR(__xludf.dummyfunction("""COMPUTED_VALUE"""),"Garden")</f>
        <v>Garden</v>
      </c>
      <c r="D564" s="2" t="str">
        <f aca="false">IFERROR(__xludf.dummyfunction("""COMPUTED_VALUE"""),"SATKHOL ")</f>
        <v>SATKHOL </v>
      </c>
      <c r="E564" s="2"/>
      <c r="F564" s="9" t="n">
        <f aca="false">IFERROR(__xludf.dummyfunction("""COMPUTED_VALUE"""),8541.8)</f>
        <v>8541.8</v>
      </c>
      <c r="G564" s="2" t="n">
        <f aca="false">IFERROR(__xludf.dummyfunction("""COMPUTED_VALUE"""),30)</f>
        <v>30</v>
      </c>
      <c r="H564" s="2" t="n">
        <f aca="false">IFERROR(__xludf.dummyfunction("""COMPUTED_VALUE"""),30)</f>
        <v>30</v>
      </c>
      <c r="I564" s="9" t="n">
        <f aca="false">IFERROR(__xludf.dummyfunction("""COMPUTED_VALUE"""),102501.6)</f>
        <v>102501.6</v>
      </c>
      <c r="J564" s="9" t="n">
        <f aca="false">IFERROR(__xludf.dummyfunction("""COMPUTED_VALUE"""),67)</f>
        <v>67</v>
      </c>
      <c r="K564" s="9" t="n">
        <f aca="false">IFERROR(__xludf.dummyfunction("""COMPUTED_VALUE"""),0)</f>
        <v>0</v>
      </c>
      <c r="L564" s="9"/>
      <c r="M564" s="9"/>
    </row>
    <row r="565" customFormat="false" ht="15.75" hidden="false" customHeight="false" outlineLevel="0" collapsed="false">
      <c r="A565" s="2" t="str">
        <f aca="false">IFERROR(__xludf.dummyfunction("""COMPUTED_VALUE"""),"SRCM/SAT/0515")</f>
        <v>SRCM/SAT/0515</v>
      </c>
      <c r="B565" s="2" t="str">
        <f aca="false">IFERROR(__xludf.dummyfunction("""COMPUTED_VALUE"""),"Virendra  Singh")</f>
        <v>Virendra  Singh</v>
      </c>
      <c r="C565" s="2" t="str">
        <f aca="false">IFERROR(__xludf.dummyfunction("""COMPUTED_VALUE"""),"Store/Accounts")</f>
        <v>Store/Accounts</v>
      </c>
      <c r="D565" s="2" t="str">
        <f aca="false">IFERROR(__xludf.dummyfunction("""COMPUTED_VALUE"""),"SATKHOL ")</f>
        <v>SATKHOL </v>
      </c>
      <c r="E565" s="16" t="n">
        <f aca="false">IFERROR(__xludf.dummyfunction("""COMPUTED_VALUE"""),39092)</f>
        <v>39092</v>
      </c>
      <c r="F565" s="9" t="n">
        <f aca="false">IFERROR(__xludf.dummyfunction("""COMPUTED_VALUE"""),10248)</f>
        <v>10248</v>
      </c>
      <c r="G565" s="2" t="n">
        <f aca="false">IFERROR(__xludf.dummyfunction("""COMPUTED_VALUE"""),30)</f>
        <v>30</v>
      </c>
      <c r="H565" s="2" t="n">
        <f aca="false">IFERROR(__xludf.dummyfunction("""COMPUTED_VALUE"""),30)</f>
        <v>30</v>
      </c>
      <c r="I565" s="9" t="n">
        <f aca="false">IFERROR(__xludf.dummyfunction("""COMPUTED_VALUE"""),122976)</f>
        <v>122976</v>
      </c>
      <c r="J565" s="9" t="n">
        <f aca="false">IFERROR(__xludf.dummyfunction("""COMPUTED_VALUE"""),265)</f>
        <v>265</v>
      </c>
      <c r="K565" s="9" t="n">
        <f aca="false">IFERROR(__xludf.dummyfunction("""COMPUTED_VALUE"""),0)</f>
        <v>0</v>
      </c>
      <c r="L565" s="9"/>
      <c r="M565" s="9"/>
    </row>
    <row r="566" customFormat="false" ht="15.75" hidden="false" customHeight="false" outlineLevel="0" collapsed="false">
      <c r="A566" s="2" t="str">
        <f aca="false">IFERROR(__xludf.dummyfunction("""COMPUTED_VALUE"""),"SRCM/SAT/0645")</f>
        <v>SRCM/SAT/0645</v>
      </c>
      <c r="B566" s="2" t="str">
        <f aca="false">IFERROR(__xludf.dummyfunction("""COMPUTED_VALUE"""),"Shankar Singh Latwal")</f>
        <v>Shankar Singh Latwal</v>
      </c>
      <c r="C566" s="2" t="str">
        <f aca="false">IFERROR(__xludf.dummyfunction("""COMPUTED_VALUE"""),"Security")</f>
        <v>Security</v>
      </c>
      <c r="D566" s="2" t="str">
        <f aca="false">IFERROR(__xludf.dummyfunction("""COMPUTED_VALUE"""),"SATKHOL ")</f>
        <v>SATKHOL </v>
      </c>
      <c r="E566" s="2"/>
      <c r="F566" s="9" t="n">
        <f aca="false">IFERROR(__xludf.dummyfunction("""COMPUTED_VALUE"""),7000)</f>
        <v>7000</v>
      </c>
      <c r="G566" s="2" t="n">
        <f aca="false">IFERROR(__xludf.dummyfunction("""COMPUTED_VALUE"""),30)</f>
        <v>30</v>
      </c>
      <c r="H566" s="2" t="n">
        <f aca="false">IFERROR(__xludf.dummyfunction("""COMPUTED_VALUE"""),30)</f>
        <v>30</v>
      </c>
      <c r="I566" s="9" t="n">
        <f aca="false">IFERROR(__xludf.dummyfunction("""COMPUTED_VALUE"""),84000)</f>
        <v>84000</v>
      </c>
      <c r="J566" s="9" t="n">
        <f aca="false">IFERROR(__xludf.dummyfunction("""COMPUTED_VALUE"""),154)</f>
        <v>154</v>
      </c>
      <c r="K566" s="9" t="n">
        <f aca="false">IFERROR(__xludf.dummyfunction("""COMPUTED_VALUE"""),0)</f>
        <v>0</v>
      </c>
      <c r="L566" s="9"/>
      <c r="M566" s="9"/>
    </row>
    <row r="567" customFormat="false" ht="15.75" hidden="false" customHeight="false" outlineLevel="0" collapsed="false">
      <c r="A567" s="2" t="str">
        <f aca="false">IFERROR(__xludf.dummyfunction("""COMPUTED_VALUE"""),"SRCM/SAT/0741")</f>
        <v>SRCM/SAT/0741</v>
      </c>
      <c r="B567" s="2" t="str">
        <f aca="false">IFERROR(__xludf.dummyfunction("""COMPUTED_VALUE"""),"Govind Singh Latwal")</f>
        <v>Govind Singh Latwal</v>
      </c>
      <c r="C567" s="2" t="str">
        <f aca="false">IFERROR(__xludf.dummyfunction("""COMPUTED_VALUE"""),"Security")</f>
        <v>Security</v>
      </c>
      <c r="D567" s="2" t="str">
        <f aca="false">IFERROR(__xludf.dummyfunction("""COMPUTED_VALUE"""),"SATKHOL ")</f>
        <v>SATKHOL </v>
      </c>
      <c r="E567" s="2"/>
      <c r="F567" s="9" t="n">
        <f aca="false">IFERROR(__xludf.dummyfunction("""COMPUTED_VALUE"""),7000)</f>
        <v>7000</v>
      </c>
      <c r="G567" s="2" t="n">
        <f aca="false">IFERROR(__xludf.dummyfunction("""COMPUTED_VALUE"""),30)</f>
        <v>30</v>
      </c>
      <c r="H567" s="2" t="n">
        <f aca="false">IFERROR(__xludf.dummyfunction("""COMPUTED_VALUE"""),30)</f>
        <v>30</v>
      </c>
      <c r="I567" s="9" t="n">
        <f aca="false">IFERROR(__xludf.dummyfunction("""COMPUTED_VALUE"""),84000)</f>
        <v>84000</v>
      </c>
      <c r="J567" s="9" t="n">
        <f aca="false">IFERROR(__xludf.dummyfunction("""COMPUTED_VALUE"""),67)</f>
        <v>67</v>
      </c>
      <c r="K567" s="9" t="n">
        <f aca="false">IFERROR(__xludf.dummyfunction("""COMPUTED_VALUE"""),0)</f>
        <v>0</v>
      </c>
      <c r="L567" s="9"/>
      <c r="M567" s="9"/>
    </row>
    <row r="568" customFormat="false" ht="15.75" hidden="false" customHeight="false" outlineLevel="0" collapsed="false">
      <c r="A568" s="2" t="str">
        <f aca="false">IFERROR(__xludf.dummyfunction("""COMPUTED_VALUE"""),"SRCM/ADI/0347")</f>
        <v>SRCM/ADI/0347</v>
      </c>
      <c r="B568" s="2" t="str">
        <f aca="false">IFERROR(__xludf.dummyfunction("""COMPUTED_VALUE"""),"Sh. Shitlaprasad")</f>
        <v>Sh. Shitlaprasad</v>
      </c>
      <c r="C568" s="2" t="str">
        <f aca="false">IFERROR(__xludf.dummyfunction("""COMPUTED_VALUE"""),"Garden")</f>
        <v>Garden</v>
      </c>
      <c r="D568" s="2" t="str">
        <f aca="false">IFERROR(__xludf.dummyfunction("""COMPUTED_VALUE"""),"AHMEDABAD")</f>
        <v>AHMEDABAD</v>
      </c>
      <c r="E568" s="16" t="n">
        <f aca="false">IFERROR(__xludf.dummyfunction("""COMPUTED_VALUE"""),37991)</f>
        <v>37991</v>
      </c>
      <c r="F568" s="9" t="n">
        <f aca="false">IFERROR(__xludf.dummyfunction("""COMPUTED_VALUE"""),8000)</f>
        <v>8000</v>
      </c>
      <c r="G568" s="2" t="n">
        <f aca="false">IFERROR(__xludf.dummyfunction("""COMPUTED_VALUE"""),30)</f>
        <v>30</v>
      </c>
      <c r="H568" s="2" t="n">
        <f aca="false">IFERROR(__xludf.dummyfunction("""COMPUTED_VALUE"""),30)</f>
        <v>30</v>
      </c>
      <c r="I568" s="9" t="n">
        <f aca="false">IFERROR(__xludf.dummyfunction("""COMPUTED_VALUE"""),96000)</f>
        <v>96000</v>
      </c>
      <c r="J568" s="9" t="n">
        <f aca="false">IFERROR(__xludf.dummyfunction("""COMPUTED_VALUE"""),410)</f>
        <v>410</v>
      </c>
      <c r="K568" s="9" t="n">
        <f aca="false">IFERROR(__xludf.dummyfunction("""COMPUTED_VALUE"""),0)</f>
        <v>0</v>
      </c>
      <c r="L568" s="9"/>
      <c r="M568" s="9"/>
    </row>
    <row r="569" customFormat="false" ht="15.75" hidden="false" customHeight="false" outlineLevel="0" collapsed="false">
      <c r="A569" s="2" t="str">
        <f aca="false">IFERROR(__xludf.dummyfunction("""COMPUTED_VALUE"""),"SRCM/ADI/0352")</f>
        <v>SRCM/ADI/0352</v>
      </c>
      <c r="B569" s="2" t="str">
        <f aca="false">IFERROR(__xludf.dummyfunction("""COMPUTED_VALUE"""),"Smt. Sunitadevi")</f>
        <v>Smt. Sunitadevi</v>
      </c>
      <c r="C569" s="2" t="str">
        <f aca="false">IFERROR(__xludf.dummyfunction("""COMPUTED_VALUE"""),"House keeping ")</f>
        <v>House keeping </v>
      </c>
      <c r="D569" s="2" t="str">
        <f aca="false">IFERROR(__xludf.dummyfunction("""COMPUTED_VALUE"""),"AHMEDABAD")</f>
        <v>AHMEDABAD</v>
      </c>
      <c r="E569" s="16" t="n">
        <f aca="false">IFERROR(__xludf.dummyfunction("""COMPUTED_VALUE"""),41644)</f>
        <v>41644</v>
      </c>
      <c r="F569" s="9" t="n">
        <f aca="false">IFERROR(__xludf.dummyfunction("""COMPUTED_VALUE"""),5940)</f>
        <v>5940</v>
      </c>
      <c r="G569" s="2" t="n">
        <f aca="false">IFERROR(__xludf.dummyfunction("""COMPUTED_VALUE"""),30)</f>
        <v>30</v>
      </c>
      <c r="H569" s="2" t="n">
        <f aca="false">IFERROR(__xludf.dummyfunction("""COMPUTED_VALUE"""),30)</f>
        <v>30</v>
      </c>
      <c r="I569" s="9" t="n">
        <f aca="false">IFERROR(__xludf.dummyfunction("""COMPUTED_VALUE"""),71280)</f>
        <v>71280</v>
      </c>
      <c r="J569" s="9" t="n">
        <f aca="false">IFERROR(__xludf.dummyfunction("""COMPUTED_VALUE"""),0)</f>
        <v>0</v>
      </c>
      <c r="K569" s="9" t="n">
        <f aca="false">IFERROR(__xludf.dummyfunction("""COMPUTED_VALUE"""),0)</f>
        <v>0</v>
      </c>
      <c r="L569" s="9"/>
      <c r="M569" s="9"/>
    </row>
    <row r="570" customFormat="false" ht="15.75" hidden="false" customHeight="false" outlineLevel="0" collapsed="false">
      <c r="A570" s="2" t="str">
        <f aca="false">IFERROR(__xludf.dummyfunction("""COMPUTED_VALUE"""),"SRCM/ADI/0349")</f>
        <v>SRCM/ADI/0349</v>
      </c>
      <c r="B570" s="2" t="str">
        <f aca="false">IFERROR(__xludf.dummyfunction("""COMPUTED_VALUE"""),"Sh. Gangadin")</f>
        <v>Sh. Gangadin</v>
      </c>
      <c r="C570" s="2" t="str">
        <f aca="false">IFERROR(__xludf.dummyfunction("""COMPUTED_VALUE"""),"Security")</f>
        <v>Security</v>
      </c>
      <c r="D570" s="2" t="str">
        <f aca="false">IFERROR(__xludf.dummyfunction("""COMPUTED_VALUE"""),"AHMEDABAD")</f>
        <v>AHMEDABAD</v>
      </c>
      <c r="E570" s="16" t="n">
        <f aca="false">IFERROR(__xludf.dummyfunction("""COMPUTED_VALUE"""),41644)</f>
        <v>41644</v>
      </c>
      <c r="F570" s="9" t="n">
        <f aca="false">IFERROR(__xludf.dummyfunction("""COMPUTED_VALUE"""),5700)</f>
        <v>5700</v>
      </c>
      <c r="G570" s="2" t="n">
        <f aca="false">IFERROR(__xludf.dummyfunction("""COMPUTED_VALUE"""),30)</f>
        <v>30</v>
      </c>
      <c r="H570" s="2" t="n">
        <f aca="false">IFERROR(__xludf.dummyfunction("""COMPUTED_VALUE"""),30)</f>
        <v>30</v>
      </c>
      <c r="I570" s="9" t="n">
        <f aca="false">IFERROR(__xludf.dummyfunction("""COMPUTED_VALUE"""),68400)</f>
        <v>68400</v>
      </c>
      <c r="J570" s="9" t="n">
        <f aca="false">IFERROR(__xludf.dummyfunction("""COMPUTED_VALUE"""),370)</f>
        <v>370</v>
      </c>
      <c r="K570" s="9" t="n">
        <f aca="false">IFERROR(__xludf.dummyfunction("""COMPUTED_VALUE"""),0)</f>
        <v>0</v>
      </c>
      <c r="L570" s="9"/>
      <c r="M570" s="9"/>
    </row>
    <row r="571" customFormat="false" ht="15.75" hidden="false" customHeight="false" outlineLevel="0" collapsed="false">
      <c r="A571" s="2" t="str">
        <f aca="false">IFERROR(__xludf.dummyfunction("""COMPUTED_VALUE"""),"SRCM/ADI/0351")</f>
        <v>SRCM/ADI/0351</v>
      </c>
      <c r="B571" s="2" t="str">
        <f aca="false">IFERROR(__xludf.dummyfunction("""COMPUTED_VALUE"""),"Sh. Shambhunath")</f>
        <v>Sh. Shambhunath</v>
      </c>
      <c r="C571" s="2" t="str">
        <f aca="false">IFERROR(__xludf.dummyfunction("""COMPUTED_VALUE"""),"Garden")</f>
        <v>Garden</v>
      </c>
      <c r="D571" s="2" t="str">
        <f aca="false">IFERROR(__xludf.dummyfunction("""COMPUTED_VALUE"""),"AHMEDABAD")</f>
        <v>AHMEDABAD</v>
      </c>
      <c r="E571" s="16" t="n">
        <f aca="false">IFERROR(__xludf.dummyfunction("""COMPUTED_VALUE"""),41644)</f>
        <v>41644</v>
      </c>
      <c r="F571" s="9" t="n">
        <f aca="false">IFERROR(__xludf.dummyfunction("""COMPUTED_VALUE"""),5700)</f>
        <v>5700</v>
      </c>
      <c r="G571" s="2" t="n">
        <f aca="false">IFERROR(__xludf.dummyfunction("""COMPUTED_VALUE"""),30)</f>
        <v>30</v>
      </c>
      <c r="H571" s="2" t="n">
        <f aca="false">IFERROR(__xludf.dummyfunction("""COMPUTED_VALUE"""),30)</f>
        <v>30</v>
      </c>
      <c r="I571" s="9" t="n">
        <f aca="false">IFERROR(__xludf.dummyfunction("""COMPUTED_VALUE"""),68400)</f>
        <v>68400</v>
      </c>
      <c r="J571" s="9" t="n">
        <f aca="false">IFERROR(__xludf.dummyfunction("""COMPUTED_VALUE"""),408)</f>
        <v>408</v>
      </c>
      <c r="K571" s="9" t="n">
        <f aca="false">IFERROR(__xludf.dummyfunction("""COMPUTED_VALUE"""),0)</f>
        <v>0</v>
      </c>
      <c r="L571" s="9"/>
      <c r="M571" s="9"/>
    </row>
    <row r="572" customFormat="false" ht="15.75" hidden="false" customHeight="false" outlineLevel="0" collapsed="false">
      <c r="A572" s="2" t="str">
        <f aca="false">IFERROR(__xludf.dummyfunction("""COMPUTED_VALUE"""),"SRCM/GURU/0340")</f>
        <v>SRCM/GURU/0340</v>
      </c>
      <c r="B572" s="2" t="str">
        <f aca="false">IFERROR(__xludf.dummyfunction("""COMPUTED_VALUE"""),"Roshan Lal")</f>
        <v>Roshan Lal</v>
      </c>
      <c r="C572" s="2" t="str">
        <f aca="false">IFERROR(__xludf.dummyfunction("""COMPUTED_VALUE"""),"Garden")</f>
        <v>Garden</v>
      </c>
      <c r="D572" s="2" t="str">
        <f aca="false">IFERROR(__xludf.dummyfunction("""COMPUTED_VALUE"""),"DELHI GURURGRAM ")</f>
        <v>DELHI GURURGRAM </v>
      </c>
      <c r="E572" s="2"/>
      <c r="F572" s="9" t="n">
        <f aca="false">IFERROR(__xludf.dummyfunction("""COMPUTED_VALUE"""),11495)</f>
        <v>11495</v>
      </c>
      <c r="G572" s="2" t="n">
        <f aca="false">IFERROR(__xludf.dummyfunction("""COMPUTED_VALUE"""),30)</f>
        <v>30</v>
      </c>
      <c r="H572" s="2" t="n">
        <f aca="false">IFERROR(__xludf.dummyfunction("""COMPUTED_VALUE"""),30)</f>
        <v>30</v>
      </c>
      <c r="I572" s="9" t="n">
        <f aca="false">IFERROR(__xludf.dummyfunction("""COMPUTED_VALUE"""),137940)</f>
        <v>137940</v>
      </c>
      <c r="J572" s="9" t="n">
        <f aca="false">IFERROR(__xludf.dummyfunction("""COMPUTED_VALUE"""),545)</f>
        <v>545</v>
      </c>
      <c r="K572" s="9" t="n">
        <f aca="false">IFERROR(__xludf.dummyfunction("""COMPUTED_VALUE"""),0)</f>
        <v>0</v>
      </c>
      <c r="L572" s="9"/>
      <c r="M572" s="9"/>
    </row>
    <row r="573" customFormat="false" ht="15.75" hidden="false" customHeight="false" outlineLevel="0" collapsed="false">
      <c r="A573" s="2" t="str">
        <f aca="false">IFERROR(__xludf.dummyfunction("""COMPUTED_VALUE"""),"SRCM/GURU/0334")</f>
        <v>SRCM/GURU/0334</v>
      </c>
      <c r="B573" s="2" t="str">
        <f aca="false">IFERROR(__xludf.dummyfunction("""COMPUTED_VALUE"""),"Bharat Sah")</f>
        <v>Bharat Sah</v>
      </c>
      <c r="C573" s="2" t="str">
        <f aca="false">IFERROR(__xludf.dummyfunction("""COMPUTED_VALUE"""),"Maintenance")</f>
        <v>Maintenance</v>
      </c>
      <c r="D573" s="2" t="str">
        <f aca="false">IFERROR(__xludf.dummyfunction("""COMPUTED_VALUE"""),"DELHI GURURGRAM ")</f>
        <v>DELHI GURURGRAM </v>
      </c>
      <c r="E573" s="16" t="n">
        <f aca="false">IFERROR(__xludf.dummyfunction("""COMPUTED_VALUE"""),41276)</f>
        <v>41276</v>
      </c>
      <c r="F573" s="9" t="n">
        <f aca="false">IFERROR(__xludf.dummyfunction("""COMPUTED_VALUE"""),13915)</f>
        <v>13915</v>
      </c>
      <c r="G573" s="2" t="n">
        <f aca="false">IFERROR(__xludf.dummyfunction("""COMPUTED_VALUE"""),30)</f>
        <v>30</v>
      </c>
      <c r="H573" s="2" t="n">
        <f aca="false">IFERROR(__xludf.dummyfunction("""COMPUTED_VALUE"""),30)</f>
        <v>30</v>
      </c>
      <c r="I573" s="9" t="n">
        <f aca="false">IFERROR(__xludf.dummyfunction("""COMPUTED_VALUE"""),166980)</f>
        <v>166980</v>
      </c>
      <c r="J573" s="9" t="n">
        <f aca="false">IFERROR(__xludf.dummyfunction("""COMPUTED_VALUE"""),522)</f>
        <v>522</v>
      </c>
      <c r="K573" s="9" t="n">
        <f aca="false">IFERROR(__xludf.dummyfunction("""COMPUTED_VALUE"""),0)</f>
        <v>0</v>
      </c>
      <c r="L573" s="9"/>
      <c r="M573" s="9"/>
    </row>
    <row r="574" customFormat="false" ht="15.75" hidden="false" customHeight="false" outlineLevel="0" collapsed="false">
      <c r="A574" s="2" t="str">
        <f aca="false">IFERROR(__xludf.dummyfunction("""COMPUTED_VALUE"""),"SRCM/GURU/0335")</f>
        <v>SRCM/GURU/0335</v>
      </c>
      <c r="B574" s="2" t="str">
        <f aca="false">IFERROR(__xludf.dummyfunction("""COMPUTED_VALUE"""),"Bimla Yadav")</f>
        <v>Bimla Yadav</v>
      </c>
      <c r="C574" s="2" t="str">
        <f aca="false">IFERROR(__xludf.dummyfunction("""COMPUTED_VALUE"""),"Garden")</f>
        <v>Garden</v>
      </c>
      <c r="D574" s="2" t="str">
        <f aca="false">IFERROR(__xludf.dummyfunction("""COMPUTED_VALUE"""),"DELHI GURURGRAM ")</f>
        <v>DELHI GURURGRAM </v>
      </c>
      <c r="E574" s="2"/>
      <c r="F574" s="9" t="n">
        <f aca="false">IFERROR(__xludf.dummyfunction("""COMPUTED_VALUE"""),10285)</f>
        <v>10285</v>
      </c>
      <c r="G574" s="2" t="n">
        <f aca="false">IFERROR(__xludf.dummyfunction("""COMPUTED_VALUE"""),30)</f>
        <v>30</v>
      </c>
      <c r="H574" s="2" t="n">
        <f aca="false">IFERROR(__xludf.dummyfunction("""COMPUTED_VALUE"""),30)</f>
        <v>30</v>
      </c>
      <c r="I574" s="9" t="n">
        <f aca="false">IFERROR(__xludf.dummyfunction("""COMPUTED_VALUE"""),123420)</f>
        <v>123420</v>
      </c>
      <c r="J574" s="9" t="n">
        <f aca="false">IFERROR(__xludf.dummyfunction("""COMPUTED_VALUE"""),0)</f>
        <v>0</v>
      </c>
      <c r="K574" s="9" t="n">
        <f aca="false">IFERROR(__xludf.dummyfunction("""COMPUTED_VALUE"""),0)</f>
        <v>0</v>
      </c>
      <c r="L574" s="9"/>
      <c r="M574" s="9"/>
    </row>
    <row r="575" customFormat="false" ht="15.75" hidden="false" customHeight="false" outlineLevel="0" collapsed="false">
      <c r="A575" s="2" t="str">
        <f aca="false">IFERROR(__xludf.dummyfunction("""COMPUTED_VALUE"""),"SRCM/GURU/0337")</f>
        <v>SRCM/GURU/0337</v>
      </c>
      <c r="B575" s="2" t="str">
        <f aca="false">IFERROR(__xludf.dummyfunction("""COMPUTED_VALUE"""),"Rajesh")</f>
        <v>Rajesh</v>
      </c>
      <c r="C575" s="2" t="str">
        <f aca="false">IFERROR(__xludf.dummyfunction("""COMPUTED_VALUE"""),"Garden")</f>
        <v>Garden</v>
      </c>
      <c r="D575" s="2" t="str">
        <f aca="false">IFERROR(__xludf.dummyfunction("""COMPUTED_VALUE"""),"DELHI GURURGRAM ")</f>
        <v>DELHI GURURGRAM </v>
      </c>
      <c r="E575" s="16" t="n">
        <f aca="false">IFERROR(__xludf.dummyfunction("""COMPUTED_VALUE"""),39174)</f>
        <v>39174</v>
      </c>
      <c r="F575" s="9" t="n">
        <f aca="false">IFERROR(__xludf.dummyfunction("""COMPUTED_VALUE"""),10285)</f>
        <v>10285</v>
      </c>
      <c r="G575" s="2" t="n">
        <f aca="false">IFERROR(__xludf.dummyfunction("""COMPUTED_VALUE"""),30)</f>
        <v>30</v>
      </c>
      <c r="H575" s="2" t="n">
        <f aca="false">IFERROR(__xludf.dummyfunction("""COMPUTED_VALUE"""),30)</f>
        <v>30</v>
      </c>
      <c r="I575" s="9" t="n">
        <f aca="false">IFERROR(__xludf.dummyfunction("""COMPUTED_VALUE"""),123420)</f>
        <v>123420</v>
      </c>
      <c r="J575" s="9" t="n">
        <f aca="false">IFERROR(__xludf.dummyfunction("""COMPUTED_VALUE"""),374)</f>
        <v>374</v>
      </c>
      <c r="K575" s="9" t="n">
        <f aca="false">IFERROR(__xludf.dummyfunction("""COMPUTED_VALUE"""),0)</f>
        <v>0</v>
      </c>
      <c r="L575" s="9"/>
      <c r="M575" s="9"/>
    </row>
    <row r="576" customFormat="false" ht="15.75" hidden="false" customHeight="false" outlineLevel="0" collapsed="false">
      <c r="A576" s="2" t="str">
        <f aca="false">IFERROR(__xludf.dummyfunction("""COMPUTED_VALUE"""),"SRCM/NDLS/0694")</f>
        <v>SRCM/NDLS/0694</v>
      </c>
      <c r="B576" s="2" t="str">
        <f aca="false">IFERROR(__xludf.dummyfunction("""COMPUTED_VALUE"""),"Ram Khelawan")</f>
        <v>Ram Khelawan</v>
      </c>
      <c r="C576" s="2" t="str">
        <f aca="false">IFERROR(__xludf.dummyfunction("""COMPUTED_VALUE"""),"Garden")</f>
        <v>Garden</v>
      </c>
      <c r="D576" s="2" t="str">
        <f aca="false">IFERROR(__xludf.dummyfunction("""COMPUTED_VALUE"""),"DELHI ZONAL ASHRAM")</f>
        <v>DELHI ZONAL ASHRAM</v>
      </c>
      <c r="E576" s="16" t="n">
        <f aca="false">IFERROR(__xludf.dummyfunction("""COMPUTED_VALUE"""),43105)</f>
        <v>43105</v>
      </c>
      <c r="F576" s="9" t="n">
        <f aca="false">IFERROR(__xludf.dummyfunction("""COMPUTED_VALUE"""),9350)</f>
        <v>9350</v>
      </c>
      <c r="G576" s="2" t="n">
        <f aca="false">IFERROR(__xludf.dummyfunction("""COMPUTED_VALUE"""),30)</f>
        <v>30</v>
      </c>
      <c r="H576" s="2" t="n">
        <f aca="false">IFERROR(__xludf.dummyfunction("""COMPUTED_VALUE"""),30)</f>
        <v>30</v>
      </c>
      <c r="I576" s="9" t="n">
        <f aca="false">IFERROR(__xludf.dummyfunction("""COMPUTED_VALUE"""),112200)</f>
        <v>112200</v>
      </c>
      <c r="J576" s="9" t="n">
        <f aca="false">IFERROR(__xludf.dummyfunction("""COMPUTED_VALUE"""),374)</f>
        <v>374</v>
      </c>
      <c r="K576" s="9" t="n">
        <f aca="false">IFERROR(__xludf.dummyfunction("""COMPUTED_VALUE"""),0)</f>
        <v>0</v>
      </c>
      <c r="L576" s="9"/>
      <c r="M576" s="9"/>
    </row>
    <row r="577" customFormat="false" ht="15.75" hidden="false" customHeight="false" outlineLevel="0" collapsed="false">
      <c r="A577" s="2" t="str">
        <f aca="false">IFERROR(__xludf.dummyfunction("""COMPUTED_VALUE"""),"SRCM/GURU/0339")</f>
        <v>SRCM/GURU/0339</v>
      </c>
      <c r="B577" s="2" t="str">
        <f aca="false">IFERROR(__xludf.dummyfunction("""COMPUTED_VALUE"""),"Ram Pratap")</f>
        <v>Ram Pratap</v>
      </c>
      <c r="C577" s="2" t="str">
        <f aca="false">IFERROR(__xludf.dummyfunction("""COMPUTED_VALUE"""),"Garden")</f>
        <v>Garden</v>
      </c>
      <c r="D577" s="2" t="str">
        <f aca="false">IFERROR(__xludf.dummyfunction("""COMPUTED_VALUE"""),"DELHI GURURGRAM ")</f>
        <v>DELHI GURURGRAM </v>
      </c>
      <c r="E577" s="16" t="n">
        <f aca="false">IFERROR(__xludf.dummyfunction("""COMPUTED_VALUE"""),41282)</f>
        <v>41282</v>
      </c>
      <c r="F577" s="9" t="n">
        <f aca="false">IFERROR(__xludf.dummyfunction("""COMPUTED_VALUE"""),10285)</f>
        <v>10285</v>
      </c>
      <c r="G577" s="2" t="n">
        <f aca="false">IFERROR(__xludf.dummyfunction("""COMPUTED_VALUE"""),30)</f>
        <v>30</v>
      </c>
      <c r="H577" s="2" t="n">
        <f aca="false">IFERROR(__xludf.dummyfunction("""COMPUTED_VALUE"""),30)</f>
        <v>30</v>
      </c>
      <c r="I577" s="9" t="n">
        <f aca="false">IFERROR(__xludf.dummyfunction("""COMPUTED_VALUE"""),123420)</f>
        <v>123420</v>
      </c>
      <c r="J577" s="9" t="n">
        <f aca="false">IFERROR(__xludf.dummyfunction("""COMPUTED_VALUE"""),261)</f>
        <v>261</v>
      </c>
      <c r="K577" s="9" t="n">
        <f aca="false">IFERROR(__xludf.dummyfunction("""COMPUTED_VALUE"""),0)</f>
        <v>0</v>
      </c>
      <c r="L577" s="9"/>
      <c r="M577" s="9"/>
    </row>
    <row r="578" customFormat="false" ht="15.75" hidden="false" customHeight="false" outlineLevel="0" collapsed="false">
      <c r="A578" s="2" t="str">
        <f aca="false">IFERROR(__xludf.dummyfunction("""COMPUTED_VALUE"""),"SRCM/DRKP/0341")</f>
        <v>SRCM/DRKP/0341</v>
      </c>
      <c r="B578" s="2" t="str">
        <f aca="false">IFERROR(__xludf.dummyfunction("""COMPUTED_VALUE"""),"Vikas Tiwari")</f>
        <v>Vikas Tiwari</v>
      </c>
      <c r="C578" s="2" t="str">
        <f aca="false">IFERROR(__xludf.dummyfunction("""COMPUTED_VALUE"""),"Maintenance")</f>
        <v>Maintenance</v>
      </c>
      <c r="D578" s="2" t="str">
        <f aca="false">IFERROR(__xludf.dummyfunction("""COMPUTED_VALUE"""),"DELHI RK PURAM ")</f>
        <v>DELHI RK PURAM </v>
      </c>
      <c r="E578" s="16" t="n">
        <f aca="false">IFERROR(__xludf.dummyfunction("""COMPUTED_VALUE"""),39814)</f>
        <v>39814</v>
      </c>
      <c r="F578" s="9" t="n">
        <f aca="false">IFERROR(__xludf.dummyfunction("""COMPUTED_VALUE"""),10285)</f>
        <v>10285</v>
      </c>
      <c r="G578" s="2" t="n">
        <f aca="false">IFERROR(__xludf.dummyfunction("""COMPUTED_VALUE"""),30)</f>
        <v>30</v>
      </c>
      <c r="H578" s="2" t="n">
        <f aca="false">IFERROR(__xludf.dummyfunction("""COMPUTED_VALUE"""),30)</f>
        <v>30</v>
      </c>
      <c r="I578" s="9" t="n">
        <f aca="false">IFERROR(__xludf.dummyfunction("""COMPUTED_VALUE"""),123420)</f>
        <v>123420</v>
      </c>
      <c r="J578" s="9" t="n">
        <f aca="false">IFERROR(__xludf.dummyfunction("""COMPUTED_VALUE"""),396)</f>
        <v>396</v>
      </c>
      <c r="K578" s="9" t="n">
        <f aca="false">IFERROR(__xludf.dummyfunction("""COMPUTED_VALUE"""),0)</f>
        <v>0</v>
      </c>
      <c r="L578" s="9"/>
      <c r="M578" s="9"/>
    </row>
    <row r="579" customFormat="false" ht="15.75" hidden="false" customHeight="false" outlineLevel="0" collapsed="false">
      <c r="A579" s="2" t="str">
        <f aca="false">IFERROR(__xludf.dummyfunction("""COMPUTED_VALUE"""),"SRCM/DRKP/0342")</f>
        <v>SRCM/DRKP/0342</v>
      </c>
      <c r="B579" s="2" t="str">
        <f aca="false">IFERROR(__xludf.dummyfunction("""COMPUTED_VALUE"""),"Seema Tiwari")</f>
        <v>Seema Tiwari</v>
      </c>
      <c r="C579" s="2" t="str">
        <f aca="false">IFERROR(__xludf.dummyfunction("""COMPUTED_VALUE"""),"Garden")</f>
        <v>Garden</v>
      </c>
      <c r="D579" s="2" t="str">
        <f aca="false">IFERROR(__xludf.dummyfunction("""COMPUTED_VALUE"""),"DELHI RK PURAM ")</f>
        <v>DELHI RK PURAM </v>
      </c>
      <c r="E579" s="16" t="n">
        <f aca="false">IFERROR(__xludf.dummyfunction("""COMPUTED_VALUE"""),40725)</f>
        <v>40725</v>
      </c>
      <c r="F579" s="9" t="n">
        <f aca="false">IFERROR(__xludf.dummyfunction("""COMPUTED_VALUE"""),10285)</f>
        <v>10285</v>
      </c>
      <c r="G579" s="2" t="n">
        <f aca="false">IFERROR(__xludf.dummyfunction("""COMPUTED_VALUE"""),30)</f>
        <v>30</v>
      </c>
      <c r="H579" s="2" t="n">
        <f aca="false">IFERROR(__xludf.dummyfunction("""COMPUTED_VALUE"""),30)</f>
        <v>30</v>
      </c>
      <c r="I579" s="9" t="n">
        <f aca="false">IFERROR(__xludf.dummyfunction("""COMPUTED_VALUE"""),123420)</f>
        <v>123420</v>
      </c>
      <c r="J579" s="9" t="n">
        <f aca="false">IFERROR(__xludf.dummyfunction("""COMPUTED_VALUE"""),0)</f>
        <v>0</v>
      </c>
      <c r="K579" s="9" t="n">
        <f aca="false">IFERROR(__xludf.dummyfunction("""COMPUTED_VALUE"""),0)</f>
        <v>0</v>
      </c>
      <c r="L579" s="9"/>
      <c r="M579" s="9"/>
    </row>
    <row r="580" customFormat="false" ht="15.75" hidden="false" customHeight="false" outlineLevel="0" collapsed="false">
      <c r="A580" s="2" t="str">
        <f aca="false">IFERROR(__xludf.dummyfunction("""COMPUTED_VALUE"""),"SRCM/DZA/0345")</f>
        <v>SRCM/DZA/0345</v>
      </c>
      <c r="B580" s="2" t="str">
        <f aca="false">IFERROR(__xludf.dummyfunction("""COMPUTED_VALUE"""),"Rajesh Kumar Yadav")</f>
        <v>Rajesh Kumar Yadav</v>
      </c>
      <c r="C580" s="2" t="str">
        <f aca="false">IFERROR(__xludf.dummyfunction("""COMPUTED_VALUE"""),"Garden")</f>
        <v>Garden</v>
      </c>
      <c r="D580" s="2" t="str">
        <f aca="false">IFERROR(__xludf.dummyfunction("""COMPUTED_VALUE"""),"DELHI ZONAL ASHRAM")</f>
        <v>DELHI ZONAL ASHRAM</v>
      </c>
      <c r="E580" s="2"/>
      <c r="F580" s="9" t="n">
        <f aca="false">IFERROR(__xludf.dummyfunction("""COMPUTED_VALUE"""),24200)</f>
        <v>24200</v>
      </c>
      <c r="G580" s="2" t="n">
        <f aca="false">IFERROR(__xludf.dummyfunction("""COMPUTED_VALUE"""),30)</f>
        <v>30</v>
      </c>
      <c r="H580" s="2" t="n">
        <f aca="false">IFERROR(__xludf.dummyfunction("""COMPUTED_VALUE"""),30)</f>
        <v>30</v>
      </c>
      <c r="I580" s="9" t="n">
        <f aca="false">IFERROR(__xludf.dummyfunction("""COMPUTED_VALUE"""),290400)</f>
        <v>290400</v>
      </c>
      <c r="J580" s="9" t="n">
        <f aca="false">IFERROR(__xludf.dummyfunction("""COMPUTED_VALUE"""),560)</f>
        <v>560</v>
      </c>
      <c r="K580" s="9" t="n">
        <f aca="false">IFERROR(__xludf.dummyfunction("""COMPUTED_VALUE"""),0)</f>
        <v>0</v>
      </c>
      <c r="L580" s="9"/>
      <c r="M580" s="9"/>
    </row>
    <row r="581" customFormat="false" ht="15.75" hidden="false" customHeight="false" outlineLevel="0" collapsed="false">
      <c r="A581" s="2" t="str">
        <f aca="false">IFERROR(__xludf.dummyfunction("""COMPUTED_VALUE"""),"SRCM/DZA/0344")</f>
        <v>SRCM/DZA/0344</v>
      </c>
      <c r="B581" s="2" t="str">
        <f aca="false">IFERROR(__xludf.dummyfunction("""COMPUTED_VALUE"""),"Bibash Chandra Tiwari")</f>
        <v>Bibash Chandra Tiwari</v>
      </c>
      <c r="C581" s="2" t="str">
        <f aca="false">IFERROR(__xludf.dummyfunction("""COMPUTED_VALUE"""),"Garden")</f>
        <v>Garden</v>
      </c>
      <c r="D581" s="2" t="str">
        <f aca="false">IFERROR(__xludf.dummyfunction("""COMPUTED_VALUE"""),"DELHI ZONAL ASHRAM")</f>
        <v>DELHI ZONAL ASHRAM</v>
      </c>
      <c r="E581" s="16" t="n">
        <f aca="false">IFERROR(__xludf.dummyfunction("""COMPUTED_VALUE"""),41916)</f>
        <v>41916</v>
      </c>
      <c r="F581" s="9" t="n">
        <f aca="false">IFERROR(__xludf.dummyfunction("""COMPUTED_VALUE"""),10285)</f>
        <v>10285</v>
      </c>
      <c r="G581" s="2" t="n">
        <f aca="false">IFERROR(__xludf.dummyfunction("""COMPUTED_VALUE"""),30)</f>
        <v>30</v>
      </c>
      <c r="H581" s="2" t="n">
        <f aca="false">IFERROR(__xludf.dummyfunction("""COMPUTED_VALUE"""),30)</f>
        <v>30</v>
      </c>
      <c r="I581" s="9" t="n">
        <f aca="false">IFERROR(__xludf.dummyfunction("""COMPUTED_VALUE"""),123420)</f>
        <v>123420</v>
      </c>
      <c r="J581" s="9" t="n">
        <f aca="false">IFERROR(__xludf.dummyfunction("""COMPUTED_VALUE"""),772)</f>
        <v>772</v>
      </c>
      <c r="K581" s="9" t="n">
        <f aca="false">IFERROR(__xludf.dummyfunction("""COMPUTED_VALUE"""),0)</f>
        <v>0</v>
      </c>
      <c r="L581" s="9"/>
      <c r="M581" s="9"/>
    </row>
    <row r="582" customFormat="false" ht="15.75" hidden="false" customHeight="false" outlineLevel="0" collapsed="false">
      <c r="A582" s="2" t="str">
        <f aca="false">IFERROR(__xludf.dummyfunction("""COMPUTED_VALUE"""),"HFI/NDLS/1471")</f>
        <v>HFI/NDLS/1471</v>
      </c>
      <c r="B582" s="2" t="str">
        <f aca="false">IFERROR(__xludf.dummyfunction("""COMPUTED_VALUE"""),"Lalit Mohan Singh")</f>
        <v>Lalit Mohan Singh</v>
      </c>
      <c r="C582" s="2" t="str">
        <f aca="false">IFERROR(__xludf.dummyfunction("""COMPUTED_VALUE"""),"Care Taker")</f>
        <v>Care Taker</v>
      </c>
      <c r="D582" s="2" t="str">
        <f aca="false">IFERROR(__xludf.dummyfunction("""COMPUTED_VALUE"""),"DELHI ZONAL ASHRAM")</f>
        <v>DELHI ZONAL ASHRAM</v>
      </c>
      <c r="E582" s="16" t="n">
        <f aca="false">IFERROR(__xludf.dummyfunction("""COMPUTED_VALUE"""),43108)</f>
        <v>43108</v>
      </c>
      <c r="F582" s="9" t="n">
        <f aca="false">IFERROR(__xludf.dummyfunction("""COMPUTED_VALUE"""),43000)</f>
        <v>43000</v>
      </c>
      <c r="G582" s="2" t="n">
        <f aca="false">IFERROR(__xludf.dummyfunction("""COMPUTED_VALUE"""),30)</f>
        <v>30</v>
      </c>
      <c r="H582" s="2" t="n">
        <f aca="false">IFERROR(__xludf.dummyfunction("""COMPUTED_VALUE"""),30)</f>
        <v>30</v>
      </c>
      <c r="I582" s="9" t="n">
        <f aca="false">IFERROR(__xludf.dummyfunction("""COMPUTED_VALUE"""),516000)</f>
        <v>516000</v>
      </c>
      <c r="J582" s="9" t="n">
        <f aca="false">IFERROR(__xludf.dummyfunction("""COMPUTED_VALUE"""),197)</f>
        <v>197</v>
      </c>
      <c r="K582" s="9" t="n">
        <f aca="false">IFERROR(__xludf.dummyfunction("""COMPUTED_VALUE"""),0)</f>
        <v>0</v>
      </c>
      <c r="L582" s="9"/>
      <c r="M582" s="9"/>
    </row>
    <row r="583" customFormat="false" ht="15.75" hidden="false" customHeight="false" outlineLevel="0" collapsed="false">
      <c r="A583" s="2" t="str">
        <f aca="false">IFERROR(__xludf.dummyfunction("""COMPUTED_VALUE"""),"SRCM/KOAA/0518")</f>
        <v>SRCM/KOAA/0518</v>
      </c>
      <c r="B583" s="2" t="str">
        <f aca="false">IFERROR(__xludf.dummyfunction("""COMPUTED_VALUE"""),"Rabindranath Golui")</f>
        <v>Rabindranath Golui</v>
      </c>
      <c r="C583" s="2" t="str">
        <f aca="false">IFERROR(__xludf.dummyfunction("""COMPUTED_VALUE"""),"Garden")</f>
        <v>Garden</v>
      </c>
      <c r="D583" s="2" t="str">
        <f aca="false">IFERROR(__xludf.dummyfunction("""COMPUTED_VALUE"""),"KOLKATTA")</f>
        <v>KOLKATTA</v>
      </c>
      <c r="E583" s="16" t="n">
        <f aca="false">IFERROR(__xludf.dummyfunction("""COMPUTED_VALUE"""),42738)</f>
        <v>42738</v>
      </c>
      <c r="F583" s="9" t="n">
        <f aca="false">IFERROR(__xludf.dummyfunction("""COMPUTED_VALUE"""),13200)</f>
        <v>13200</v>
      </c>
      <c r="G583" s="2" t="n">
        <f aca="false">IFERROR(__xludf.dummyfunction("""COMPUTED_VALUE"""),30)</f>
        <v>30</v>
      </c>
      <c r="H583" s="2" t="n">
        <f aca="false">IFERROR(__xludf.dummyfunction("""COMPUTED_VALUE"""),30)</f>
        <v>30</v>
      </c>
      <c r="I583" s="9" t="n">
        <f aca="false">IFERROR(__xludf.dummyfunction("""COMPUTED_VALUE"""),158400)</f>
        <v>158400</v>
      </c>
      <c r="J583" s="9" t="n">
        <f aca="false">IFERROR(__xludf.dummyfunction("""COMPUTED_VALUE"""),820)</f>
        <v>820</v>
      </c>
      <c r="K583" s="9" t="n">
        <f aca="false">IFERROR(__xludf.dummyfunction("""COMPUTED_VALUE"""),0)</f>
        <v>0</v>
      </c>
      <c r="L583" s="9"/>
      <c r="M583" s="9"/>
    </row>
    <row r="584" customFormat="false" ht="15.75" hidden="false" customHeight="false" outlineLevel="0" collapsed="false">
      <c r="A584" s="2" t="str">
        <f aca="false">IFERROR(__xludf.dummyfunction("""COMPUTED_VALUE"""),"SRCM/TUP/0626")</f>
        <v>SRCM/TUP/0626</v>
      </c>
      <c r="B584" s="2" t="str">
        <f aca="false">IFERROR(__xludf.dummyfunction("""COMPUTED_VALUE"""),"ANAND AROGYARAJ")</f>
        <v>ANAND AROGYARAJ</v>
      </c>
      <c r="C584" s="2" t="str">
        <f aca="false">IFERROR(__xludf.dummyfunction("""COMPUTED_VALUE"""),"Agriculture")</f>
        <v>Agriculture</v>
      </c>
      <c r="D584" s="2" t="str">
        <f aca="false">IFERROR(__xludf.dummyfunction("""COMPUTED_VALUE"""),"TIRUPPUR  ")</f>
        <v>TIRUPPUR  </v>
      </c>
      <c r="E584" s="16" t="n">
        <f aca="false">IFERROR(__xludf.dummyfunction("""COMPUTED_VALUE"""),38414)</f>
        <v>38414</v>
      </c>
      <c r="F584" s="9" t="n">
        <f aca="false">IFERROR(__xludf.dummyfunction("""COMPUTED_VALUE"""),19800)</f>
        <v>19800</v>
      </c>
      <c r="G584" s="2" t="n">
        <f aca="false">IFERROR(__xludf.dummyfunction("""COMPUTED_VALUE"""),30)</f>
        <v>30</v>
      </c>
      <c r="H584" s="2" t="n">
        <f aca="false">IFERROR(__xludf.dummyfunction("""COMPUTED_VALUE"""),30)</f>
        <v>30</v>
      </c>
      <c r="I584" s="9" t="n">
        <f aca="false">IFERROR(__xludf.dummyfunction("""COMPUTED_VALUE"""),237600)</f>
        <v>237600</v>
      </c>
      <c r="J584" s="9" t="n">
        <f aca="false">IFERROR(__xludf.dummyfunction("""COMPUTED_VALUE"""),791)</f>
        <v>791</v>
      </c>
      <c r="K584" s="9" t="n">
        <f aca="false">IFERROR(__xludf.dummyfunction("""COMPUTED_VALUE"""),0)</f>
        <v>0</v>
      </c>
      <c r="L584" s="9"/>
      <c r="M584" s="9"/>
    </row>
    <row r="585" customFormat="false" ht="15.75" hidden="false" customHeight="false" outlineLevel="0" collapsed="false">
      <c r="A585" s="2" t="str">
        <f aca="false">IFERROR(__xludf.dummyfunction("""COMPUTED_VALUE"""),"SRCM/TUP/0620")</f>
        <v>SRCM/TUP/0620</v>
      </c>
      <c r="B585" s="2" t="str">
        <f aca="false">IFERROR(__xludf.dummyfunction("""COMPUTED_VALUE"""),"K. SELLAN")</f>
        <v>K. SELLAN</v>
      </c>
      <c r="C585" s="2" t="str">
        <f aca="false">IFERROR(__xludf.dummyfunction("""COMPUTED_VALUE"""),"Agriculture")</f>
        <v>Agriculture</v>
      </c>
      <c r="D585" s="2" t="str">
        <f aca="false">IFERROR(__xludf.dummyfunction("""COMPUTED_VALUE"""),"TIRUPPUR  ")</f>
        <v>TIRUPPUR  </v>
      </c>
      <c r="E585" s="16" t="n">
        <f aca="false">IFERROR(__xludf.dummyfunction("""COMPUTED_VALUE"""),41924)</f>
        <v>41924</v>
      </c>
      <c r="F585" s="9" t="n">
        <f aca="false">IFERROR(__xludf.dummyfunction("""COMPUTED_VALUE"""),15345)</f>
        <v>15345</v>
      </c>
      <c r="G585" s="2" t="n">
        <f aca="false">IFERROR(__xludf.dummyfunction("""COMPUTED_VALUE"""),30)</f>
        <v>30</v>
      </c>
      <c r="H585" s="2" t="n">
        <f aca="false">IFERROR(__xludf.dummyfunction("""COMPUTED_VALUE"""),30)</f>
        <v>30</v>
      </c>
      <c r="I585" s="9" t="n">
        <f aca="false">IFERROR(__xludf.dummyfunction("""COMPUTED_VALUE"""),184140)</f>
        <v>184140</v>
      </c>
      <c r="J585" s="9" t="n">
        <f aca="false">IFERROR(__xludf.dummyfunction("""COMPUTED_VALUE"""),177)</f>
        <v>177</v>
      </c>
      <c r="K585" s="9" t="n">
        <f aca="false">IFERROR(__xludf.dummyfunction("""COMPUTED_VALUE"""),0)</f>
        <v>0</v>
      </c>
      <c r="L585" s="9"/>
      <c r="M585" s="9"/>
    </row>
    <row r="586" customFormat="false" ht="15.75" hidden="false" customHeight="false" outlineLevel="0" collapsed="false">
      <c r="A586" s="2" t="str">
        <f aca="false">IFERROR(__xludf.dummyfunction("""COMPUTED_VALUE"""),"SRCM/TUP/0622")</f>
        <v>SRCM/TUP/0622</v>
      </c>
      <c r="B586" s="2" t="str">
        <f aca="false">IFERROR(__xludf.dummyfunction("""COMPUTED_VALUE"""),"M.PARAMESHWARAN")</f>
        <v>M.PARAMESHWARAN</v>
      </c>
      <c r="C586" s="2" t="str">
        <f aca="false">IFERROR(__xludf.dummyfunction("""COMPUTED_VALUE"""),"Agriculture")</f>
        <v>Agriculture</v>
      </c>
      <c r="D586" s="2" t="str">
        <f aca="false">IFERROR(__xludf.dummyfunction("""COMPUTED_VALUE"""),"TIRUPPUR  ")</f>
        <v>TIRUPPUR  </v>
      </c>
      <c r="E586" s="2"/>
      <c r="F586" s="9" t="n">
        <f aca="false">IFERROR(__xludf.dummyfunction("""COMPUTED_VALUE"""),9350)</f>
        <v>9350</v>
      </c>
      <c r="G586" s="2" t="n">
        <f aca="false">IFERROR(__xludf.dummyfunction("""COMPUTED_VALUE"""),30)</f>
        <v>30</v>
      </c>
      <c r="H586" s="2" t="n">
        <f aca="false">IFERROR(__xludf.dummyfunction("""COMPUTED_VALUE"""),30)</f>
        <v>30</v>
      </c>
      <c r="I586" s="9" t="n">
        <f aca="false">IFERROR(__xludf.dummyfunction("""COMPUTED_VALUE"""),112200)</f>
        <v>112200</v>
      </c>
      <c r="J586" s="9" t="n">
        <f aca="false">IFERROR(__xludf.dummyfunction("""COMPUTED_VALUE"""),379)</f>
        <v>379</v>
      </c>
      <c r="K586" s="9" t="n">
        <f aca="false">IFERROR(__xludf.dummyfunction("""COMPUTED_VALUE"""),0)</f>
        <v>0</v>
      </c>
      <c r="L586" s="9"/>
      <c r="M586" s="9"/>
    </row>
    <row r="587" customFormat="false" ht="15.75" hidden="false" customHeight="false" outlineLevel="0" collapsed="false">
      <c r="A587" s="2" t="str">
        <f aca="false">IFERROR(__xludf.dummyfunction("""COMPUTED_VALUE"""),"SRCM/TUP/0623")</f>
        <v>SRCM/TUP/0623</v>
      </c>
      <c r="B587" s="2" t="str">
        <f aca="false">IFERROR(__xludf.dummyfunction("""COMPUTED_VALUE"""),"VINOTH")</f>
        <v>VINOTH</v>
      </c>
      <c r="C587" s="2" t="str">
        <f aca="false">IFERROR(__xludf.dummyfunction("""COMPUTED_VALUE"""),"Agriculture")</f>
        <v>Agriculture</v>
      </c>
      <c r="D587" s="2" t="str">
        <f aca="false">IFERROR(__xludf.dummyfunction("""COMPUTED_VALUE"""),"TIRUPPUR  ")</f>
        <v>TIRUPPUR  </v>
      </c>
      <c r="E587" s="2"/>
      <c r="F587" s="9" t="n">
        <f aca="false">IFERROR(__xludf.dummyfunction("""COMPUTED_VALUE"""),8800)</f>
        <v>8800</v>
      </c>
      <c r="G587" s="2" t="n">
        <f aca="false">IFERROR(__xludf.dummyfunction("""COMPUTED_VALUE"""),30)</f>
        <v>30</v>
      </c>
      <c r="H587" s="2" t="n">
        <f aca="false">IFERROR(__xludf.dummyfunction("""COMPUTED_VALUE"""),30)</f>
        <v>30</v>
      </c>
      <c r="I587" s="9" t="n">
        <f aca="false">IFERROR(__xludf.dummyfunction("""COMPUTED_VALUE"""),105600)</f>
        <v>105600</v>
      </c>
      <c r="J587" s="9" t="n">
        <f aca="false">IFERROR(__xludf.dummyfunction("""COMPUTED_VALUE"""),177)</f>
        <v>177</v>
      </c>
      <c r="K587" s="9" t="n">
        <f aca="false">IFERROR(__xludf.dummyfunction("""COMPUTED_VALUE"""),0)</f>
        <v>0</v>
      </c>
      <c r="L587" s="9"/>
      <c r="M587" s="9"/>
    </row>
    <row r="588" customFormat="false" ht="15.75" hidden="false" customHeight="false" outlineLevel="0" collapsed="false">
      <c r="A588" s="2" t="str">
        <f aca="false">IFERROR(__xludf.dummyfunction("""COMPUTED_VALUE"""),"SRCM/BCT/0326")</f>
        <v>SRCM/BCT/0326</v>
      </c>
      <c r="B588" s="2" t="str">
        <f aca="false">IFERROR(__xludf.dummyfunction("""COMPUTED_VALUE"""),"Vinod D Karawade")</f>
        <v>Vinod D Karawade</v>
      </c>
      <c r="C588" s="2" t="str">
        <f aca="false">IFERROR(__xludf.dummyfunction("""COMPUTED_VALUE"""),"Kitchen")</f>
        <v>Kitchen</v>
      </c>
      <c r="D588" s="2" t="str">
        <f aca="false">IFERROR(__xludf.dummyfunction("""COMPUTED_VALUE"""),"MUMBAI PANVEL ")</f>
        <v>MUMBAI PANVEL </v>
      </c>
      <c r="E588" s="16" t="n">
        <f aca="false">IFERROR(__xludf.dummyfunction("""COMPUTED_VALUE"""),37991)</f>
        <v>37991</v>
      </c>
      <c r="F588" s="9" t="n">
        <f aca="false">IFERROR(__xludf.dummyfunction("""COMPUTED_VALUE"""),8900)</f>
        <v>8900</v>
      </c>
      <c r="G588" s="2" t="n">
        <f aca="false">IFERROR(__xludf.dummyfunction("""COMPUTED_VALUE"""),30)</f>
        <v>30</v>
      </c>
      <c r="H588" s="2" t="n">
        <f aca="false">IFERROR(__xludf.dummyfunction("""COMPUTED_VALUE"""),30)</f>
        <v>30</v>
      </c>
      <c r="I588" s="9" t="n">
        <f aca="false">IFERROR(__xludf.dummyfunction("""COMPUTED_VALUE"""),106800)</f>
        <v>106800</v>
      </c>
      <c r="J588" s="9" t="n">
        <f aca="false">IFERROR(__xludf.dummyfunction("""COMPUTED_VALUE"""),154)</f>
        <v>154</v>
      </c>
      <c r="K588" s="9" t="n">
        <f aca="false">IFERROR(__xludf.dummyfunction("""COMPUTED_VALUE"""),0)</f>
        <v>0</v>
      </c>
      <c r="L588" s="9"/>
      <c r="M588" s="9"/>
    </row>
    <row r="589" customFormat="false" ht="15.75" hidden="false" customHeight="false" outlineLevel="0" collapsed="false">
      <c r="A589" s="2" t="str">
        <f aca="false">IFERROR(__xludf.dummyfunction("""COMPUTED_VALUE"""),"SRCM/BCT/0328")</f>
        <v>SRCM/BCT/0328</v>
      </c>
      <c r="B589" s="2" t="str">
        <f aca="false">IFERROR(__xludf.dummyfunction("""COMPUTED_VALUE"""),"Pandurang madhukar Karalkar")</f>
        <v>Pandurang madhukar Karalkar</v>
      </c>
      <c r="C589" s="2" t="str">
        <f aca="false">IFERROR(__xludf.dummyfunction("""COMPUTED_VALUE"""),"House keeping ")</f>
        <v>House keeping </v>
      </c>
      <c r="D589" s="2" t="str">
        <f aca="false">IFERROR(__xludf.dummyfunction("""COMPUTED_VALUE"""),"MUMBAI PANVEL ")</f>
        <v>MUMBAI PANVEL </v>
      </c>
      <c r="E589" s="16" t="n">
        <f aca="false">IFERROR(__xludf.dummyfunction("""COMPUTED_VALUE"""),39818)</f>
        <v>39818</v>
      </c>
      <c r="F589" s="9" t="n">
        <f aca="false">IFERROR(__xludf.dummyfunction("""COMPUTED_VALUE"""),7900)</f>
        <v>7900</v>
      </c>
      <c r="G589" s="2" t="n">
        <f aca="false">IFERROR(__xludf.dummyfunction("""COMPUTED_VALUE"""),30)</f>
        <v>30</v>
      </c>
      <c r="H589" s="2" t="n">
        <f aca="false">IFERROR(__xludf.dummyfunction("""COMPUTED_VALUE"""),30)</f>
        <v>30</v>
      </c>
      <c r="I589" s="9" t="n">
        <f aca="false">IFERROR(__xludf.dummyfunction("""COMPUTED_VALUE"""),94800)</f>
        <v>94800</v>
      </c>
      <c r="J589" s="9" t="n">
        <f aca="false">IFERROR(__xludf.dummyfunction("""COMPUTED_VALUE"""),467)</f>
        <v>467</v>
      </c>
      <c r="K589" s="9" t="n">
        <f aca="false">IFERROR(__xludf.dummyfunction("""COMPUTED_VALUE"""),0)</f>
        <v>0</v>
      </c>
      <c r="L589" s="9"/>
      <c r="M589" s="9"/>
    </row>
    <row r="590" customFormat="false" ht="15.75" hidden="false" customHeight="false" outlineLevel="0" collapsed="false">
      <c r="A590" s="2" t="str">
        <f aca="false">IFERROR(__xludf.dummyfunction("""COMPUTED_VALUE"""),"SRCM/BCT/0333")</f>
        <v>SRCM/BCT/0333</v>
      </c>
      <c r="B590" s="2" t="str">
        <f aca="false">IFERROR(__xludf.dummyfunction("""COMPUTED_VALUE"""),"Ramesh S Arawale")</f>
        <v>Ramesh S Arawale</v>
      </c>
      <c r="C590" s="2" t="str">
        <f aca="false">IFERROR(__xludf.dummyfunction("""COMPUTED_VALUE"""),"Garden")</f>
        <v>Garden</v>
      </c>
      <c r="D590" s="2" t="str">
        <f aca="false">IFERROR(__xludf.dummyfunction("""COMPUTED_VALUE"""),"MUMBAI PANVEL ")</f>
        <v>MUMBAI PANVEL </v>
      </c>
      <c r="E590" s="16" t="n">
        <f aca="false">IFERROR(__xludf.dummyfunction("""COMPUTED_VALUE"""),39818)</f>
        <v>39818</v>
      </c>
      <c r="F590" s="9" t="n">
        <f aca="false">IFERROR(__xludf.dummyfunction("""COMPUTED_VALUE"""),7900)</f>
        <v>7900</v>
      </c>
      <c r="G590" s="2" t="n">
        <f aca="false">IFERROR(__xludf.dummyfunction("""COMPUTED_VALUE"""),30)</f>
        <v>30</v>
      </c>
      <c r="H590" s="2" t="n">
        <f aca="false">IFERROR(__xludf.dummyfunction("""COMPUTED_VALUE"""),30)</f>
        <v>30</v>
      </c>
      <c r="I590" s="9" t="n">
        <f aca="false">IFERROR(__xludf.dummyfunction("""COMPUTED_VALUE"""),94800)</f>
        <v>94800</v>
      </c>
      <c r="J590" s="9" t="n">
        <f aca="false">IFERROR(__xludf.dummyfunction("""COMPUTED_VALUE"""),129)</f>
        <v>129</v>
      </c>
      <c r="K590" s="9" t="n">
        <f aca="false">IFERROR(__xludf.dummyfunction("""COMPUTED_VALUE"""),0)</f>
        <v>0</v>
      </c>
      <c r="L590" s="9"/>
      <c r="M590" s="9"/>
    </row>
    <row r="591" customFormat="false" ht="15.75" hidden="false" customHeight="false" outlineLevel="0" collapsed="false">
      <c r="A591" s="2" t="str">
        <f aca="false">IFERROR(__xludf.dummyfunction("""COMPUTED_VALUE"""),"SRCM/BCT/0327")</f>
        <v>SRCM/BCT/0327</v>
      </c>
      <c r="B591" s="2" t="str">
        <f aca="false">IFERROR(__xludf.dummyfunction("""COMPUTED_VALUE"""),"Manohar H Jadhav")</f>
        <v>Manohar H Jadhav</v>
      </c>
      <c r="C591" s="2" t="str">
        <f aca="false">IFERROR(__xludf.dummyfunction("""COMPUTED_VALUE"""),"Garden")</f>
        <v>Garden</v>
      </c>
      <c r="D591" s="2" t="str">
        <f aca="false">IFERROR(__xludf.dummyfunction("""COMPUTED_VALUE"""),"MUMBAI PANVEL ")</f>
        <v>MUMBAI PANVEL </v>
      </c>
      <c r="E591" s="16" t="n">
        <f aca="false">IFERROR(__xludf.dummyfunction("""COMPUTED_VALUE"""),39818)</f>
        <v>39818</v>
      </c>
      <c r="F591" s="9" t="n">
        <f aca="false">IFERROR(__xludf.dummyfunction("""COMPUTED_VALUE"""),8900)</f>
        <v>8900</v>
      </c>
      <c r="G591" s="2" t="n">
        <f aca="false">IFERROR(__xludf.dummyfunction("""COMPUTED_VALUE"""),30)</f>
        <v>30</v>
      </c>
      <c r="H591" s="2" t="n">
        <f aca="false">IFERROR(__xludf.dummyfunction("""COMPUTED_VALUE"""),30)</f>
        <v>30</v>
      </c>
      <c r="I591" s="9" t="n">
        <f aca="false">IFERROR(__xludf.dummyfunction("""COMPUTED_VALUE"""),106800)</f>
        <v>106800</v>
      </c>
      <c r="J591" s="9" t="n">
        <f aca="false">IFERROR(__xludf.dummyfunction("""COMPUTED_VALUE"""),715)</f>
        <v>715</v>
      </c>
      <c r="K591" s="9" t="n">
        <f aca="false">IFERROR(__xludf.dummyfunction("""COMPUTED_VALUE"""),0)</f>
        <v>0</v>
      </c>
      <c r="L591" s="9"/>
      <c r="M591" s="9"/>
    </row>
    <row r="592" customFormat="false" ht="15.75" hidden="false" customHeight="false" outlineLevel="0" collapsed="false">
      <c r="A592" s="2" t="str">
        <f aca="false">IFERROR(__xludf.dummyfunction("""COMPUTED_VALUE"""),"SRCM/MYS/0091")</f>
        <v>SRCM/MYS/0091</v>
      </c>
      <c r="B592" s="2" t="str">
        <f aca="false">IFERROR(__xludf.dummyfunction("""COMPUTED_VALUE"""),"Somanna")</f>
        <v>Somanna</v>
      </c>
      <c r="C592" s="2" t="str">
        <f aca="false">IFERROR(__xludf.dummyfunction("""COMPUTED_VALUE"""),"Care Taker")</f>
        <v>Care Taker</v>
      </c>
      <c r="D592" s="2" t="str">
        <f aca="false">IFERROR(__xludf.dummyfunction("""COMPUTED_VALUE"""),"MYSORE ")</f>
        <v>MYSORE </v>
      </c>
      <c r="E592" s="16" t="n">
        <f aca="false">IFERROR(__xludf.dummyfunction("""COMPUTED_VALUE"""),38353)</f>
        <v>38353</v>
      </c>
      <c r="F592" s="9" t="n">
        <f aca="false">IFERROR(__xludf.dummyfunction("""COMPUTED_VALUE"""),13500)</f>
        <v>13500</v>
      </c>
      <c r="G592" s="2" t="n">
        <f aca="false">IFERROR(__xludf.dummyfunction("""COMPUTED_VALUE"""),30)</f>
        <v>30</v>
      </c>
      <c r="H592" s="2" t="n">
        <f aca="false">IFERROR(__xludf.dummyfunction("""COMPUTED_VALUE"""),30)</f>
        <v>30</v>
      </c>
      <c r="I592" s="9" t="n">
        <f aca="false">IFERROR(__xludf.dummyfunction("""COMPUTED_VALUE"""),162000)</f>
        <v>162000</v>
      </c>
      <c r="J592" s="9" t="n">
        <f aca="false">IFERROR(__xludf.dummyfunction("""COMPUTED_VALUE"""),526)</f>
        <v>526</v>
      </c>
      <c r="K592" s="9" t="n">
        <f aca="false">IFERROR(__xludf.dummyfunction("""COMPUTED_VALUE"""),0)</f>
        <v>0</v>
      </c>
      <c r="L592" s="9"/>
      <c r="M592" s="9"/>
    </row>
    <row r="593" customFormat="false" ht="15.75" hidden="false" customHeight="false" outlineLevel="0" collapsed="false">
      <c r="A593" s="2" t="str">
        <f aca="false">IFERROR(__xludf.dummyfunction("""COMPUTED_VALUE"""),"SRCM/BHS/0480")</f>
        <v>SRCM/BHS/0480</v>
      </c>
      <c r="B593" s="2" t="str">
        <f aca="false">IFERROR(__xludf.dummyfunction("""COMPUTED_VALUE"""),"Banshi lal")</f>
        <v>Banshi lal</v>
      </c>
      <c r="C593" s="2" t="str">
        <f aca="false">IFERROR(__xludf.dummyfunction("""COMPUTED_VALUE"""),"Care Taker")</f>
        <v>Care Taker</v>
      </c>
      <c r="D593" s="2" t="str">
        <f aca="false">IFERROR(__xludf.dummyfunction("""COMPUTED_VALUE"""),"VIDISHA")</f>
        <v>VIDISHA</v>
      </c>
      <c r="E593" s="2"/>
      <c r="F593" s="9" t="n">
        <f aca="false">IFERROR(__xludf.dummyfunction("""COMPUTED_VALUE"""),5500)</f>
        <v>5500</v>
      </c>
      <c r="G593" s="2" t="n">
        <f aca="false">IFERROR(__xludf.dummyfunction("""COMPUTED_VALUE"""),30)</f>
        <v>30</v>
      </c>
      <c r="H593" s="2" t="n">
        <f aca="false">IFERROR(__xludf.dummyfunction("""COMPUTED_VALUE"""),30)</f>
        <v>30</v>
      </c>
      <c r="I593" s="9" t="n">
        <f aca="false">IFERROR(__xludf.dummyfunction("""COMPUTED_VALUE"""),66000)</f>
        <v>66000</v>
      </c>
      <c r="J593" s="9" t="n">
        <f aca="false">IFERROR(__xludf.dummyfunction("""COMPUTED_VALUE"""),221)</f>
        <v>221</v>
      </c>
      <c r="K593" s="9" t="n">
        <f aca="false">IFERROR(__xludf.dummyfunction("""COMPUTED_VALUE"""),0)</f>
        <v>0</v>
      </c>
      <c r="L593" s="9"/>
      <c r="M593" s="9"/>
    </row>
    <row r="594" customFormat="false" ht="15.75" hidden="false" customHeight="false" outlineLevel="0" collapsed="false">
      <c r="A594" s="2" t="str">
        <f aca="false">IFERROR(__xludf.dummyfunction("""COMPUTED_VALUE"""),"SRCM/TPTY/0640")</f>
        <v>SRCM/TPTY/0640</v>
      </c>
      <c r="B594" s="2" t="str">
        <f aca="false">IFERROR(__xludf.dummyfunction("""COMPUTED_VALUE"""),"KANTHAMMA SAKIBANDA")</f>
        <v>KANTHAMMA SAKIBANDA</v>
      </c>
      <c r="C594" s="2" t="str">
        <f aca="false">IFERROR(__xludf.dummyfunction("""COMPUTED_VALUE"""),"Garden")</f>
        <v>Garden</v>
      </c>
      <c r="D594" s="2" t="str">
        <f aca="false">IFERROR(__xludf.dummyfunction("""COMPUTED_VALUE"""),"TIRUPATI")</f>
        <v>TIRUPATI</v>
      </c>
      <c r="E594" s="16" t="n">
        <f aca="false">IFERROR(__xludf.dummyfunction("""COMPUTED_VALUE"""),41280)</f>
        <v>41280</v>
      </c>
      <c r="F594" s="9" t="n">
        <f aca="false">IFERROR(__xludf.dummyfunction("""COMPUTED_VALUE"""),2500)</f>
        <v>2500</v>
      </c>
      <c r="G594" s="2" t="n">
        <f aca="false">IFERROR(__xludf.dummyfunction("""COMPUTED_VALUE"""),30)</f>
        <v>30</v>
      </c>
      <c r="H594" s="2" t="n">
        <f aca="false">IFERROR(__xludf.dummyfunction("""COMPUTED_VALUE"""),30)</f>
        <v>30</v>
      </c>
      <c r="I594" s="9" t="n">
        <f aca="false">IFERROR(__xludf.dummyfunction("""COMPUTED_VALUE"""),30000)</f>
        <v>30000</v>
      </c>
      <c r="J594" s="9" t="n">
        <f aca="false">IFERROR(__xludf.dummyfunction("""COMPUTED_VALUE"""),110)</f>
        <v>110</v>
      </c>
      <c r="K594" s="9" t="n">
        <f aca="false">IFERROR(__xludf.dummyfunction("""COMPUTED_VALUE"""),0)</f>
        <v>0</v>
      </c>
      <c r="L594" s="9"/>
      <c r="M594" s="9"/>
    </row>
    <row r="595" customFormat="false" ht="15.75" hidden="false" customHeight="false" outlineLevel="0" collapsed="false">
      <c r="A595" s="2" t="str">
        <f aca="false">IFERROR(__xludf.dummyfunction("""COMPUTED_VALUE"""),"SRCM/PGRH/0550")</f>
        <v>SRCM/PGRH/0550</v>
      </c>
      <c r="B595" s="2" t="str">
        <f aca="false">IFERROR(__xludf.dummyfunction("""COMPUTED_VALUE"""),"Khilanand Joshi")</f>
        <v>Khilanand Joshi</v>
      </c>
      <c r="C595" s="2" t="str">
        <f aca="false">IFERROR(__xludf.dummyfunction("""COMPUTED_VALUE"""),"House keeping ")</f>
        <v>House keeping </v>
      </c>
      <c r="D595" s="2" t="str">
        <f aca="false">IFERROR(__xludf.dummyfunction("""COMPUTED_VALUE"""),"PITHORAGARGH")</f>
        <v>PITHORAGARGH</v>
      </c>
      <c r="E595" s="2"/>
      <c r="F595" s="9" t="n">
        <f aca="false">IFERROR(__xludf.dummyfunction("""COMPUTED_VALUE"""),6500)</f>
        <v>6500</v>
      </c>
      <c r="G595" s="2" t="n">
        <f aca="false">IFERROR(__xludf.dummyfunction("""COMPUTED_VALUE"""),30)</f>
        <v>30</v>
      </c>
      <c r="H595" s="2" t="n">
        <f aca="false">IFERROR(__xludf.dummyfunction("""COMPUTED_VALUE"""),30)</f>
        <v>30</v>
      </c>
      <c r="I595" s="9" t="n">
        <f aca="false">IFERROR(__xludf.dummyfunction("""COMPUTED_VALUE"""),78000)</f>
        <v>78000</v>
      </c>
      <c r="J595" s="9" t="n">
        <f aca="false">IFERROR(__xludf.dummyfunction("""COMPUTED_VALUE"""),0)</f>
        <v>0</v>
      </c>
      <c r="K595" s="9" t="n">
        <f aca="false">IFERROR(__xludf.dummyfunction("""COMPUTED_VALUE"""),0)</f>
        <v>0</v>
      </c>
      <c r="L595" s="9"/>
      <c r="M595" s="9"/>
    </row>
    <row r="596" customFormat="false" ht="15.75" hidden="false" customHeight="false" outlineLevel="0" collapsed="false">
      <c r="A596" s="2" t="str">
        <f aca="false">IFERROR(__xludf.dummyfunction("""COMPUTED_VALUE"""),"SRCM/PGRH/0547")</f>
        <v>SRCM/PGRH/0547</v>
      </c>
      <c r="B596" s="2" t="str">
        <f aca="false">IFERROR(__xludf.dummyfunction("""COMPUTED_VALUE"""),"Daya Kishan Bhatt")</f>
        <v>Daya Kishan Bhatt</v>
      </c>
      <c r="C596" s="2" t="str">
        <f aca="false">IFERROR(__xludf.dummyfunction("""COMPUTED_VALUE"""),"Security")</f>
        <v>Security</v>
      </c>
      <c r="D596" s="2" t="str">
        <f aca="false">IFERROR(__xludf.dummyfunction("""COMPUTED_VALUE"""),"PITHORAGARGH")</f>
        <v>PITHORAGARGH</v>
      </c>
      <c r="E596" s="2"/>
      <c r="F596" s="9" t="n">
        <f aca="false">IFERROR(__xludf.dummyfunction("""COMPUTED_VALUE"""),6500)</f>
        <v>6500</v>
      </c>
      <c r="G596" s="2" t="n">
        <f aca="false">IFERROR(__xludf.dummyfunction("""COMPUTED_VALUE"""),30)</f>
        <v>30</v>
      </c>
      <c r="H596" s="2" t="n">
        <f aca="false">IFERROR(__xludf.dummyfunction("""COMPUTED_VALUE"""),30)</f>
        <v>30</v>
      </c>
      <c r="I596" s="9" t="n">
        <f aca="false">IFERROR(__xludf.dummyfunction("""COMPUTED_VALUE"""),78000)</f>
        <v>78000</v>
      </c>
      <c r="J596" s="9" t="n">
        <f aca="false">IFERROR(__xludf.dummyfunction("""COMPUTED_VALUE"""),234)</f>
        <v>234</v>
      </c>
      <c r="K596" s="9" t="n">
        <f aca="false">IFERROR(__xludf.dummyfunction("""COMPUTED_VALUE"""),0)</f>
        <v>0</v>
      </c>
      <c r="L596" s="9"/>
      <c r="M596" s="9"/>
    </row>
    <row r="597" customFormat="false" ht="15.75" hidden="false" customHeight="false" outlineLevel="0" collapsed="false">
      <c r="A597" s="2" t="str">
        <f aca="false">IFERROR(__xludf.dummyfunction("""COMPUTED_VALUE"""),"SRCM/PGRH/0548")</f>
        <v>SRCM/PGRH/0548</v>
      </c>
      <c r="B597" s="2" t="str">
        <f aca="false">IFERROR(__xludf.dummyfunction("""COMPUTED_VALUE"""),"Mukesh Seliya")</f>
        <v>Mukesh Seliya</v>
      </c>
      <c r="C597" s="2" t="str">
        <f aca="false">IFERROR(__xludf.dummyfunction("""COMPUTED_VALUE"""),"KItchen")</f>
        <v>KItchen</v>
      </c>
      <c r="D597" s="2" t="str">
        <f aca="false">IFERROR(__xludf.dummyfunction("""COMPUTED_VALUE"""),"PITHORAGARGH")</f>
        <v>PITHORAGARGH</v>
      </c>
      <c r="E597" s="16" t="n">
        <f aca="false">IFERROR(__xludf.dummyfunction("""COMPUTED_VALUE"""),42376)</f>
        <v>42376</v>
      </c>
      <c r="F597" s="9" t="n">
        <f aca="false">IFERROR(__xludf.dummyfunction("""COMPUTED_VALUE"""),6000)</f>
        <v>6000</v>
      </c>
      <c r="G597" s="2" t="n">
        <f aca="false">IFERROR(__xludf.dummyfunction("""COMPUTED_VALUE"""),30)</f>
        <v>30</v>
      </c>
      <c r="H597" s="2" t="n">
        <f aca="false">IFERROR(__xludf.dummyfunction("""COMPUTED_VALUE"""),30)</f>
        <v>30</v>
      </c>
      <c r="I597" s="9" t="n">
        <f aca="false">IFERROR(__xludf.dummyfunction("""COMPUTED_VALUE"""),72000)</f>
        <v>72000</v>
      </c>
      <c r="J597" s="9" t="n">
        <f aca="false">IFERROR(__xludf.dummyfunction("""COMPUTED_VALUE"""),336)</f>
        <v>336</v>
      </c>
      <c r="K597" s="9" t="n">
        <f aca="false">IFERROR(__xludf.dummyfunction("""COMPUTED_VALUE"""),0)</f>
        <v>0</v>
      </c>
      <c r="L597" s="9"/>
      <c r="M597" s="9"/>
    </row>
    <row r="598" customFormat="false" ht="15.75" hidden="false" customHeight="false" outlineLevel="0" collapsed="false">
      <c r="A598" s="2" t="str">
        <f aca="false">IFERROR(__xludf.dummyfunction("""COMPUTED_VALUE"""),"SRCM/PLO/0637")</f>
        <v>SRCM/PLO/0637</v>
      </c>
      <c r="B598" s="2" t="str">
        <f aca="false">IFERROR(__xludf.dummyfunction("""COMPUTED_VALUE"""),"Jayawante Chikate")</f>
        <v>Jayawante Chikate</v>
      </c>
      <c r="C598" s="2" t="str">
        <f aca="false">IFERROR(__xludf.dummyfunction("""COMPUTED_VALUE"""),"Care Taker")</f>
        <v>Care Taker</v>
      </c>
      <c r="D598" s="2" t="str">
        <f aca="false">IFERROR(__xludf.dummyfunction("""COMPUTED_VALUE"""),"PULGAON")</f>
        <v>PULGAON</v>
      </c>
      <c r="E598" s="16" t="n">
        <f aca="false">IFERROR(__xludf.dummyfunction("""COMPUTED_VALUE"""),39973)</f>
        <v>39973</v>
      </c>
      <c r="F598" s="9" t="n">
        <f aca="false">IFERROR(__xludf.dummyfunction("""COMPUTED_VALUE"""),6600)</f>
        <v>6600</v>
      </c>
      <c r="G598" s="2" t="n">
        <f aca="false">IFERROR(__xludf.dummyfunction("""COMPUTED_VALUE"""),30)</f>
        <v>30</v>
      </c>
      <c r="H598" s="2" t="n">
        <f aca="false">IFERROR(__xludf.dummyfunction("""COMPUTED_VALUE"""),30)</f>
        <v>30</v>
      </c>
      <c r="I598" s="9" t="n">
        <f aca="false">IFERROR(__xludf.dummyfunction("""COMPUTED_VALUE"""),79200)</f>
        <v>79200</v>
      </c>
      <c r="J598" s="9" t="n">
        <f aca="false">IFERROR(__xludf.dummyfunction("""COMPUTED_VALUE"""),80)</f>
        <v>80</v>
      </c>
      <c r="K598" s="9" t="n">
        <f aca="false">IFERROR(__xludf.dummyfunction("""COMPUTED_VALUE"""),0)</f>
        <v>0</v>
      </c>
      <c r="L598" s="9"/>
      <c r="M598" s="9"/>
    </row>
    <row r="599" customFormat="false" ht="15.75" hidden="false" customHeight="false" outlineLevel="0" collapsed="false">
      <c r="A599" s="2" t="str">
        <f aca="false">IFERROR(__xludf.dummyfunction("""COMPUTED_VALUE"""),"SRCM/BMA/0102")</f>
        <v>SRCM/BMA/0102</v>
      </c>
      <c r="B599" s="2" t="str">
        <f aca="false">IFERROR(__xludf.dummyfunction("""COMPUTED_VALUE"""),"Vikas chowdry")</f>
        <v>Vikas chowdry</v>
      </c>
      <c r="C599" s="2" t="str">
        <f aca="false">IFERROR(__xludf.dummyfunction("""COMPUTED_VALUE"""),"Garden")</f>
        <v>Garden</v>
      </c>
      <c r="D599" s="2" t="str">
        <f aca="false">IFERROR(__xludf.dummyfunction("""COMPUTED_VALUE"""),"SHAHJAHANPUR")</f>
        <v>SHAHJAHANPUR</v>
      </c>
      <c r="E599" s="16" t="n">
        <f aca="false">IFERROR(__xludf.dummyfunction("""COMPUTED_VALUE"""),37265)</f>
        <v>37265</v>
      </c>
      <c r="F599" s="9" t="n">
        <f aca="false">IFERROR(__xludf.dummyfunction("""COMPUTED_VALUE"""),7021)</f>
        <v>7021</v>
      </c>
      <c r="G599" s="2" t="n">
        <f aca="false">IFERROR(__xludf.dummyfunction("""COMPUTED_VALUE"""),30)</f>
        <v>30</v>
      </c>
      <c r="H599" s="2" t="n">
        <f aca="false">IFERROR(__xludf.dummyfunction("""COMPUTED_VALUE"""),30)</f>
        <v>30</v>
      </c>
      <c r="I599" s="9" t="n">
        <f aca="false">IFERROR(__xludf.dummyfunction("""COMPUTED_VALUE"""),84252)</f>
        <v>84252</v>
      </c>
      <c r="J599" s="9" t="n">
        <f aca="false">IFERROR(__xludf.dummyfunction("""COMPUTED_VALUE"""),234)</f>
        <v>234</v>
      </c>
      <c r="K599" s="9" t="n">
        <f aca="false">IFERROR(__xludf.dummyfunction("""COMPUTED_VALUE"""),2000)</f>
        <v>2000</v>
      </c>
      <c r="L599" s="9"/>
      <c r="M599" s="9"/>
    </row>
    <row r="600" customFormat="false" ht="15.75" hidden="false" customHeight="false" outlineLevel="0" collapsed="false">
      <c r="A600" s="2" t="str">
        <f aca="false">IFERROR(__xludf.dummyfunction("""COMPUTED_VALUE"""),"SRCM/PAY/0986")</f>
        <v>SRCM/PAY/0986</v>
      </c>
      <c r="B600" s="2" t="str">
        <f aca="false">IFERROR(__xludf.dummyfunction("""COMPUTED_VALUE"""),"Kumaran. P.P")</f>
        <v>Kumaran. P.P</v>
      </c>
      <c r="C600" s="2" t="str">
        <f aca="false">IFERROR(__xludf.dummyfunction("""COMPUTED_VALUE"""),"Care Taker")</f>
        <v>Care Taker</v>
      </c>
      <c r="D600" s="2" t="str">
        <f aca="false">IFERROR(__xludf.dummyfunction("""COMPUTED_VALUE"""),"PAYYANUR")</f>
        <v>PAYYANUR</v>
      </c>
      <c r="E600" s="16" t="n">
        <f aca="false">IFERROR(__xludf.dummyfunction("""COMPUTED_VALUE"""),43108)</f>
        <v>43108</v>
      </c>
      <c r="F600" s="9" t="n">
        <f aca="false">IFERROR(__xludf.dummyfunction("""COMPUTED_VALUE"""),9000)</f>
        <v>9000</v>
      </c>
      <c r="G600" s="2" t="n">
        <f aca="false">IFERROR(__xludf.dummyfunction("""COMPUTED_VALUE"""),30)</f>
        <v>30</v>
      </c>
      <c r="H600" s="2" t="n">
        <f aca="false">IFERROR(__xludf.dummyfunction("""COMPUTED_VALUE"""),30)</f>
        <v>30</v>
      </c>
      <c r="I600" s="9" t="n">
        <f aca="false">IFERROR(__xludf.dummyfunction("""COMPUTED_VALUE"""),108000)</f>
        <v>108000</v>
      </c>
      <c r="J600" s="9" t="n">
        <f aca="false">IFERROR(__xludf.dummyfunction("""COMPUTED_VALUE"""),191)</f>
        <v>191</v>
      </c>
      <c r="K600" s="9" t="n">
        <f aca="false">IFERROR(__xludf.dummyfunction("""COMPUTED_VALUE"""),0)</f>
        <v>0</v>
      </c>
      <c r="L600" s="9"/>
      <c r="M600" s="9"/>
    </row>
    <row r="601" customFormat="false" ht="15.75" hidden="false" customHeight="false" outlineLevel="0" collapsed="false">
      <c r="A601" s="2" t="str">
        <f aca="false">IFERROR(__xludf.dummyfunction("""COMPUTED_VALUE"""),"SRCM/SAT/1066")</f>
        <v>SRCM/SAT/1066</v>
      </c>
      <c r="B601" s="2" t="str">
        <f aca="false">IFERROR(__xludf.dummyfunction("""COMPUTED_VALUE"""),"Dhan Singh")</f>
        <v>Dhan Singh</v>
      </c>
      <c r="C601" s="2" t="str">
        <f aca="false">IFERROR(__xludf.dummyfunction("""COMPUTED_VALUE"""),"Security")</f>
        <v>Security</v>
      </c>
      <c r="D601" s="2" t="str">
        <f aca="false">IFERROR(__xludf.dummyfunction("""COMPUTED_VALUE"""),"SATKHOL ")</f>
        <v>SATKHOL </v>
      </c>
      <c r="E601" s="16" t="n">
        <f aca="false">IFERROR(__xludf.dummyfunction("""COMPUTED_VALUE"""),43469)</f>
        <v>43469</v>
      </c>
      <c r="F601" s="9" t="n">
        <f aca="false">IFERROR(__xludf.dummyfunction("""COMPUTED_VALUE"""),7000)</f>
        <v>7000</v>
      </c>
      <c r="G601" s="2" t="n">
        <f aca="false">IFERROR(__xludf.dummyfunction("""COMPUTED_VALUE"""),30)</f>
        <v>30</v>
      </c>
      <c r="H601" s="2" t="n">
        <f aca="false">IFERROR(__xludf.dummyfunction("""COMPUTED_VALUE"""),30)</f>
        <v>30</v>
      </c>
      <c r="I601" s="9" t="n">
        <f aca="false">IFERROR(__xludf.dummyfunction("""COMPUTED_VALUE"""),84000)</f>
        <v>84000</v>
      </c>
      <c r="J601" s="9" t="n">
        <f aca="false">IFERROR(__xludf.dummyfunction("""COMPUTED_VALUE"""),0)</f>
        <v>0</v>
      </c>
      <c r="K601" s="9" t="n">
        <f aca="false">IFERROR(__xludf.dummyfunction("""COMPUTED_VALUE"""),0)</f>
        <v>0</v>
      </c>
      <c r="L601" s="9"/>
      <c r="M601" s="9"/>
    </row>
    <row r="602" customFormat="false" ht="15.75" hidden="false" customHeight="false" outlineLevel="0" collapsed="false">
      <c r="A602" s="2" t="str">
        <f aca="false">IFERROR(__xludf.dummyfunction("""COMPUTED_VALUE"""),"SRCM/SAT/1067")</f>
        <v>SRCM/SAT/1067</v>
      </c>
      <c r="B602" s="2" t="str">
        <f aca="false">IFERROR(__xludf.dummyfunction("""COMPUTED_VALUE"""),"Mohan Singh")</f>
        <v>Mohan Singh</v>
      </c>
      <c r="C602" s="2" t="str">
        <f aca="false">IFERROR(__xludf.dummyfunction("""COMPUTED_VALUE"""),"Security")</f>
        <v>Security</v>
      </c>
      <c r="D602" s="2" t="str">
        <f aca="false">IFERROR(__xludf.dummyfunction("""COMPUTED_VALUE"""),"SATKHOL ")</f>
        <v>SATKHOL </v>
      </c>
      <c r="E602" s="16" t="n">
        <f aca="false">IFERROR(__xludf.dummyfunction("""COMPUTED_VALUE"""),43469)</f>
        <v>43469</v>
      </c>
      <c r="F602" s="9" t="n">
        <f aca="false">IFERROR(__xludf.dummyfunction("""COMPUTED_VALUE"""),7000)</f>
        <v>7000</v>
      </c>
      <c r="G602" s="2" t="n">
        <f aca="false">IFERROR(__xludf.dummyfunction("""COMPUTED_VALUE"""),30)</f>
        <v>30</v>
      </c>
      <c r="H602" s="2" t="n">
        <f aca="false">IFERROR(__xludf.dummyfunction("""COMPUTED_VALUE"""),30)</f>
        <v>30</v>
      </c>
      <c r="I602" s="9" t="n">
        <f aca="false">IFERROR(__xludf.dummyfunction("""COMPUTED_VALUE"""),84000)</f>
        <v>84000</v>
      </c>
      <c r="J602" s="9" t="n">
        <f aca="false">IFERROR(__xludf.dummyfunction("""COMPUTED_VALUE"""),546)</f>
        <v>546</v>
      </c>
      <c r="K602" s="9" t="n">
        <f aca="false">IFERROR(__xludf.dummyfunction("""COMPUTED_VALUE"""),0)</f>
        <v>0</v>
      </c>
      <c r="L602" s="9"/>
      <c r="M602" s="9"/>
    </row>
    <row r="603" customFormat="false" ht="15.75" hidden="false" customHeight="false" outlineLevel="0" collapsed="false">
      <c r="A603" s="2" t="str">
        <f aca="false">IFERROR(__xludf.dummyfunction("""COMPUTED_VALUE"""),"SRCM/TJ/1065")</f>
        <v>SRCM/TJ/1065</v>
      </c>
      <c r="B603" s="2" t="str">
        <f aca="false">IFERROR(__xludf.dummyfunction("""COMPUTED_VALUE"""),"Ravikumar")</f>
        <v>Ravikumar</v>
      </c>
      <c r="C603" s="2" t="str">
        <f aca="false">IFERROR(__xludf.dummyfunction("""COMPUTED_VALUE"""),"Care Taker")</f>
        <v>Care Taker</v>
      </c>
      <c r="D603" s="2" t="str">
        <f aca="false">IFERROR(__xludf.dummyfunction("""COMPUTED_VALUE"""),"TANJAVUR")</f>
        <v>TANJAVUR</v>
      </c>
      <c r="E603" s="16" t="n">
        <f aca="false">IFERROR(__xludf.dummyfunction("""COMPUTED_VALUE"""),43469)</f>
        <v>43469</v>
      </c>
      <c r="F603" s="9" t="n">
        <f aca="false">IFERROR(__xludf.dummyfunction("""COMPUTED_VALUE"""),5000)</f>
        <v>5000</v>
      </c>
      <c r="G603" s="2" t="n">
        <f aca="false">IFERROR(__xludf.dummyfunction("""COMPUTED_VALUE"""),30)</f>
        <v>30</v>
      </c>
      <c r="H603" s="2" t="n">
        <f aca="false">IFERROR(__xludf.dummyfunction("""COMPUTED_VALUE"""),30)</f>
        <v>30</v>
      </c>
      <c r="I603" s="9" t="n">
        <f aca="false">IFERROR(__xludf.dummyfunction("""COMPUTED_VALUE"""),60000)</f>
        <v>60000</v>
      </c>
      <c r="J603" s="9" t="n">
        <f aca="false">IFERROR(__xludf.dummyfunction("""COMPUTED_VALUE"""),265)</f>
        <v>265</v>
      </c>
      <c r="K603" s="9" t="n">
        <f aca="false">IFERROR(__xludf.dummyfunction("""COMPUTED_VALUE"""),0)</f>
        <v>0</v>
      </c>
      <c r="L603" s="9"/>
      <c r="M603" s="9"/>
    </row>
    <row r="604" customFormat="false" ht="15.75" hidden="false" customHeight="false" outlineLevel="0" collapsed="false">
      <c r="A604" s="2" t="str">
        <f aca="false">IFERROR(__xludf.dummyfunction("""COMPUTED_VALUE"""),"SRCM/SAT/1108")</f>
        <v>SRCM/SAT/1108</v>
      </c>
      <c r="B604" s="2" t="str">
        <f aca="false">IFERROR(__xludf.dummyfunction("""COMPUTED_VALUE"""),"Vijay Kumar")</f>
        <v>Vijay Kumar</v>
      </c>
      <c r="C604" s="2" t="str">
        <f aca="false">IFERROR(__xludf.dummyfunction("""COMPUTED_VALUE"""),"Security")</f>
        <v>Security</v>
      </c>
      <c r="D604" s="2" t="str">
        <f aca="false">IFERROR(__xludf.dummyfunction("""COMPUTED_VALUE"""),"SATKHOL ")</f>
        <v>SATKHOL </v>
      </c>
      <c r="E604" s="2"/>
      <c r="F604" s="9" t="n">
        <f aca="false">IFERROR(__xludf.dummyfunction("""COMPUTED_VALUE"""),7000)</f>
        <v>7000</v>
      </c>
      <c r="G604" s="2" t="n">
        <f aca="false">IFERROR(__xludf.dummyfunction("""COMPUTED_VALUE"""),30)</f>
        <v>30</v>
      </c>
      <c r="H604" s="2" t="n">
        <f aca="false">IFERROR(__xludf.dummyfunction("""COMPUTED_VALUE"""),30)</f>
        <v>30</v>
      </c>
      <c r="I604" s="9" t="n">
        <f aca="false">IFERROR(__xludf.dummyfunction("""COMPUTED_VALUE"""),84000)</f>
        <v>84000</v>
      </c>
      <c r="J604" s="9" t="n">
        <f aca="false">IFERROR(__xludf.dummyfunction("""COMPUTED_VALUE"""),221)</f>
        <v>221</v>
      </c>
      <c r="K604" s="9" t="n">
        <f aca="false">IFERROR(__xludf.dummyfunction("""COMPUTED_VALUE"""),0)</f>
        <v>0</v>
      </c>
      <c r="L604" s="9"/>
      <c r="M604" s="9"/>
    </row>
    <row r="605" customFormat="false" ht="15.75" hidden="false" customHeight="false" outlineLevel="0" collapsed="false">
      <c r="A605" s="2" t="str">
        <f aca="false">IFERROR(__xludf.dummyfunction("""COMPUTED_VALUE"""),"SRCM/SAT/1109")</f>
        <v>SRCM/SAT/1109</v>
      </c>
      <c r="B605" s="2" t="str">
        <f aca="false">IFERROR(__xludf.dummyfunction("""COMPUTED_VALUE"""),"Raju Kabdwal")</f>
        <v>Raju Kabdwal</v>
      </c>
      <c r="C605" s="2" t="str">
        <f aca="false">IFERROR(__xludf.dummyfunction("""COMPUTED_VALUE"""),"Security")</f>
        <v>Security</v>
      </c>
      <c r="D605" s="2" t="str">
        <f aca="false">IFERROR(__xludf.dummyfunction("""COMPUTED_VALUE"""),"SATKHOL ")</f>
        <v>SATKHOL </v>
      </c>
      <c r="E605" s="2"/>
      <c r="F605" s="9" t="n">
        <f aca="false">IFERROR(__xludf.dummyfunction("""COMPUTED_VALUE"""),7000)</f>
        <v>7000</v>
      </c>
      <c r="G605" s="2" t="n">
        <f aca="false">IFERROR(__xludf.dummyfunction("""COMPUTED_VALUE"""),30)</f>
        <v>30</v>
      </c>
      <c r="H605" s="2" t="n">
        <f aca="false">IFERROR(__xludf.dummyfunction("""COMPUTED_VALUE"""),30)</f>
        <v>30</v>
      </c>
      <c r="I605" s="9" t="n">
        <f aca="false">IFERROR(__xludf.dummyfunction("""COMPUTED_VALUE"""),84000)</f>
        <v>84000</v>
      </c>
      <c r="J605" s="9" t="n">
        <f aca="false">IFERROR(__xludf.dummyfunction("""COMPUTED_VALUE"""),0)</f>
        <v>0</v>
      </c>
      <c r="K605" s="9" t="n">
        <f aca="false">IFERROR(__xludf.dummyfunction("""COMPUTED_VALUE"""),0)</f>
        <v>0</v>
      </c>
      <c r="L605" s="9"/>
      <c r="M605" s="9"/>
    </row>
    <row r="606" customFormat="false" ht="15.75" hidden="false" customHeight="false" outlineLevel="0" collapsed="false">
      <c r="A606" s="2" t="str">
        <f aca="false">IFERROR(__xludf.dummyfunction("""COMPUTED_VALUE"""),"SRCM/THUM/1472")</f>
        <v>SRCM/THUM/1472</v>
      </c>
      <c r="B606" s="2" t="str">
        <f aca="false">IFERROR(__xludf.dummyfunction("""COMPUTED_VALUE"""),"ANITHA DEVAKOLLU")</f>
        <v>ANITHA DEVAKOLLU</v>
      </c>
      <c r="C606" s="2" t="str">
        <f aca="false">IFERROR(__xludf.dummyfunction("""COMPUTED_VALUE"""),"Garden")</f>
        <v>Garden</v>
      </c>
      <c r="D606" s="2" t="str">
        <f aca="false">IFERROR(__xludf.dummyfunction("""COMPUTED_VALUE"""),"Thumkunta")</f>
        <v>Thumkunta</v>
      </c>
      <c r="E606" s="2"/>
      <c r="F606" s="9" t="n">
        <f aca="false">IFERROR(__xludf.dummyfunction("""COMPUTED_VALUE"""),7500)</f>
        <v>7500</v>
      </c>
      <c r="G606" s="2" t="n">
        <f aca="false">IFERROR(__xludf.dummyfunction("""COMPUTED_VALUE"""),30)</f>
        <v>30</v>
      </c>
      <c r="H606" s="2" t="n">
        <f aca="false">IFERROR(__xludf.dummyfunction("""COMPUTED_VALUE"""),30)</f>
        <v>30</v>
      </c>
      <c r="I606" s="9" t="n">
        <f aca="false">IFERROR(__xludf.dummyfunction("""COMPUTED_VALUE"""),90000)</f>
        <v>90000</v>
      </c>
      <c r="J606" s="9" t="n">
        <f aca="false">IFERROR(__xludf.dummyfunction("""COMPUTED_VALUE"""),171)</f>
        <v>171</v>
      </c>
      <c r="K606" s="9" t="n">
        <f aca="false">IFERROR(__xludf.dummyfunction("""COMPUTED_VALUE"""),0)</f>
        <v>0</v>
      </c>
      <c r="L606" s="9"/>
      <c r="M606" s="9"/>
    </row>
    <row r="607" customFormat="false" ht="15.75" hidden="false" customHeight="false" outlineLevel="0" collapsed="false">
      <c r="A607" s="2" t="str">
        <f aca="false">IFERROR(__xludf.dummyfunction("""COMPUTED_VALUE"""),"SRCM/THUM/1473")</f>
        <v>SRCM/THUM/1473</v>
      </c>
      <c r="B607" s="2" t="str">
        <f aca="false">IFERROR(__xludf.dummyfunction("""COMPUTED_VALUE"""),"BALAMANI B.")</f>
        <v>BALAMANI B.</v>
      </c>
      <c r="C607" s="2" t="str">
        <f aca="false">IFERROR(__xludf.dummyfunction("""COMPUTED_VALUE"""),"Garden")</f>
        <v>Garden</v>
      </c>
      <c r="D607" s="2" t="str">
        <f aca="false">IFERROR(__xludf.dummyfunction("""COMPUTED_VALUE"""),"Thumkunta")</f>
        <v>Thumkunta</v>
      </c>
      <c r="E607" s="2"/>
      <c r="F607" s="9" t="n">
        <f aca="false">IFERROR(__xludf.dummyfunction("""COMPUTED_VALUE"""),7500)</f>
        <v>7500</v>
      </c>
      <c r="G607" s="2" t="n">
        <f aca="false">IFERROR(__xludf.dummyfunction("""COMPUTED_VALUE"""),30)</f>
        <v>30</v>
      </c>
      <c r="H607" s="2" t="n">
        <f aca="false">IFERROR(__xludf.dummyfunction("""COMPUTED_VALUE"""),30)</f>
        <v>30</v>
      </c>
      <c r="I607" s="9" t="n">
        <f aca="false">IFERROR(__xludf.dummyfunction("""COMPUTED_VALUE"""),90000)</f>
        <v>90000</v>
      </c>
      <c r="J607" s="9" t="n">
        <f aca="false">IFERROR(__xludf.dummyfunction("""COMPUTED_VALUE"""),132)</f>
        <v>132</v>
      </c>
      <c r="K607" s="9" t="n">
        <f aca="false">IFERROR(__xludf.dummyfunction("""COMPUTED_VALUE"""),0)</f>
        <v>0</v>
      </c>
      <c r="L607" s="9"/>
      <c r="M607" s="9"/>
    </row>
    <row r="608" customFormat="false" ht="15.75" hidden="false" customHeight="false" outlineLevel="0" collapsed="false">
      <c r="A608" s="2" t="str">
        <f aca="false">IFERROR(__xludf.dummyfunction("""COMPUTED_VALUE"""),"SRCM/THUM/1474")</f>
        <v>SRCM/THUM/1474</v>
      </c>
      <c r="B608" s="2" t="str">
        <f aca="false">IFERROR(__xludf.dummyfunction("""COMPUTED_VALUE"""),"MADHAVI BANALA")</f>
        <v>MADHAVI BANALA</v>
      </c>
      <c r="C608" s="2" t="str">
        <f aca="false">IFERROR(__xludf.dummyfunction("""COMPUTED_VALUE"""),"Garden")</f>
        <v>Garden</v>
      </c>
      <c r="D608" s="2" t="str">
        <f aca="false">IFERROR(__xludf.dummyfunction("""COMPUTED_VALUE"""),"Thumkunta")</f>
        <v>Thumkunta</v>
      </c>
      <c r="E608" s="2"/>
      <c r="F608" s="9" t="n">
        <f aca="false">IFERROR(__xludf.dummyfunction("""COMPUTED_VALUE"""),7500)</f>
        <v>7500</v>
      </c>
      <c r="G608" s="2" t="n">
        <f aca="false">IFERROR(__xludf.dummyfunction("""COMPUTED_VALUE"""),30)</f>
        <v>30</v>
      </c>
      <c r="H608" s="2" t="n">
        <f aca="false">IFERROR(__xludf.dummyfunction("""COMPUTED_VALUE"""),30)</f>
        <v>30</v>
      </c>
      <c r="I608" s="9" t="n">
        <f aca="false">IFERROR(__xludf.dummyfunction("""COMPUTED_VALUE"""),90000)</f>
        <v>90000</v>
      </c>
      <c r="J608" s="9" t="n">
        <f aca="false">IFERROR(__xludf.dummyfunction("""COMPUTED_VALUE"""),171)</f>
        <v>171</v>
      </c>
      <c r="K608" s="9" t="n">
        <f aca="false">IFERROR(__xludf.dummyfunction("""COMPUTED_VALUE"""),0)</f>
        <v>0</v>
      </c>
      <c r="L608" s="9"/>
      <c r="M608" s="9"/>
    </row>
    <row r="609" customFormat="false" ht="15.75" hidden="false" customHeight="false" outlineLevel="0" collapsed="false">
      <c r="A609" s="2" t="str">
        <f aca="false">IFERROR(__xludf.dummyfunction("""COMPUTED_VALUE"""),"SRCM/THUM/1475")</f>
        <v>SRCM/THUM/1475</v>
      </c>
      <c r="B609" s="2" t="str">
        <f aca="false">IFERROR(__xludf.dummyfunction("""COMPUTED_VALUE"""),"MANGAPATNAM P.")</f>
        <v>MANGAPATNAM P.</v>
      </c>
      <c r="C609" s="2" t="str">
        <f aca="false">IFERROR(__xludf.dummyfunction("""COMPUTED_VALUE"""),"Garden")</f>
        <v>Garden</v>
      </c>
      <c r="D609" s="2" t="str">
        <f aca="false">IFERROR(__xludf.dummyfunction("""COMPUTED_VALUE"""),"Thumkunta")</f>
        <v>Thumkunta</v>
      </c>
      <c r="E609" s="2"/>
      <c r="F609" s="9" t="n">
        <f aca="false">IFERROR(__xludf.dummyfunction("""COMPUTED_VALUE"""),7500)</f>
        <v>7500</v>
      </c>
      <c r="G609" s="2" t="n">
        <f aca="false">IFERROR(__xludf.dummyfunction("""COMPUTED_VALUE"""),30)</f>
        <v>30</v>
      </c>
      <c r="H609" s="2" t="n">
        <f aca="false">IFERROR(__xludf.dummyfunction("""COMPUTED_VALUE"""),30)</f>
        <v>30</v>
      </c>
      <c r="I609" s="9" t="n">
        <f aca="false">IFERROR(__xludf.dummyfunction("""COMPUTED_VALUE"""),90000)</f>
        <v>90000</v>
      </c>
      <c r="J609" s="9" t="n">
        <f aca="false">IFERROR(__xludf.dummyfunction("""COMPUTED_VALUE"""),110)</f>
        <v>110</v>
      </c>
      <c r="K609" s="9" t="n">
        <f aca="false">IFERROR(__xludf.dummyfunction("""COMPUTED_VALUE"""),0)</f>
        <v>0</v>
      </c>
      <c r="L609" s="9"/>
      <c r="M609" s="9"/>
    </row>
    <row r="610" customFormat="false" ht="15.75" hidden="false" customHeight="false" outlineLevel="0" collapsed="false">
      <c r="A610" s="2" t="str">
        <f aca="false">IFERROR(__xludf.dummyfunction("""COMPUTED_VALUE"""),"SRCM/THUM/1476")</f>
        <v>SRCM/THUM/1476</v>
      </c>
      <c r="B610" s="2" t="str">
        <f aca="false">IFERROR(__xludf.dummyfunction("""COMPUTED_VALUE"""),"SRINIVASU PEDDIMUDI")</f>
        <v>SRINIVASU PEDDIMUDI</v>
      </c>
      <c r="C610" s="2" t="str">
        <f aca="false">IFERROR(__xludf.dummyfunction("""COMPUTED_VALUE"""),"Garden")</f>
        <v>Garden</v>
      </c>
      <c r="D610" s="2" t="str">
        <f aca="false">IFERROR(__xludf.dummyfunction("""COMPUTED_VALUE"""),"Thumkunta")</f>
        <v>Thumkunta</v>
      </c>
      <c r="E610" s="2"/>
      <c r="F610" s="9" t="n">
        <f aca="false">IFERROR(__xludf.dummyfunction("""COMPUTED_VALUE"""),9500)</f>
        <v>9500</v>
      </c>
      <c r="G610" s="2" t="n">
        <f aca="false">IFERROR(__xludf.dummyfunction("""COMPUTED_VALUE"""),30)</f>
        <v>30</v>
      </c>
      <c r="H610" s="2" t="n">
        <f aca="false">IFERROR(__xludf.dummyfunction("""COMPUTED_VALUE"""),30)</f>
        <v>30</v>
      </c>
      <c r="I610" s="9" t="n">
        <f aca="false">IFERROR(__xludf.dummyfunction("""COMPUTED_VALUE"""),114000)</f>
        <v>114000</v>
      </c>
      <c r="J610" s="9" t="n">
        <f aca="false">IFERROR(__xludf.dummyfunction("""COMPUTED_VALUE"""),183)</f>
        <v>183</v>
      </c>
      <c r="K610" s="9" t="n">
        <f aca="false">IFERROR(__xludf.dummyfunction("""COMPUTED_VALUE"""),0)</f>
        <v>0</v>
      </c>
      <c r="L610" s="9"/>
      <c r="M610" s="9"/>
    </row>
    <row r="611" customFormat="false" ht="15.75" hidden="false" customHeight="false" outlineLevel="0" collapsed="false">
      <c r="A611" s="2" t="str">
        <f aca="false">IFERROR(__xludf.dummyfunction("""COMPUTED_VALUE"""),"SRCM/THUM/1477")</f>
        <v>SRCM/THUM/1477</v>
      </c>
      <c r="B611" s="2" t="str">
        <f aca="false">IFERROR(__xludf.dummyfunction("""COMPUTED_VALUE"""),"VEERA RAGHAVULU RAYUDU")</f>
        <v>VEERA RAGHAVULU RAYUDU</v>
      </c>
      <c r="C611" s="2" t="str">
        <f aca="false">IFERROR(__xludf.dummyfunction("""COMPUTED_VALUE"""),"IT/Maintenance")</f>
        <v>IT/Maintenance</v>
      </c>
      <c r="D611" s="2" t="str">
        <f aca="false">IFERROR(__xludf.dummyfunction("""COMPUTED_VALUE"""),"Thumkunta")</f>
        <v>Thumkunta</v>
      </c>
      <c r="E611" s="2"/>
      <c r="F611" s="9" t="n">
        <f aca="false">IFERROR(__xludf.dummyfunction("""COMPUTED_VALUE"""),19000)</f>
        <v>19000</v>
      </c>
      <c r="G611" s="2" t="n">
        <f aca="false">IFERROR(__xludf.dummyfunction("""COMPUTED_VALUE"""),30)</f>
        <v>30</v>
      </c>
      <c r="H611" s="2" t="n">
        <f aca="false">IFERROR(__xludf.dummyfunction("""COMPUTED_VALUE"""),30)</f>
        <v>30</v>
      </c>
      <c r="I611" s="9" t="n">
        <f aca="false">IFERROR(__xludf.dummyfunction("""COMPUTED_VALUE"""),228000)</f>
        <v>228000</v>
      </c>
      <c r="J611" s="9" t="n">
        <f aca="false">IFERROR(__xludf.dummyfunction("""COMPUTED_VALUE"""),0)</f>
        <v>0</v>
      </c>
      <c r="K611" s="9" t="n">
        <f aca="false">IFERROR(__xludf.dummyfunction("""COMPUTED_VALUE"""),0)</f>
        <v>0</v>
      </c>
      <c r="L611" s="9"/>
      <c r="M611" s="9"/>
    </row>
    <row r="612" customFormat="false" ht="15.75" hidden="false" customHeight="false" outlineLevel="0" collapsed="false">
      <c r="A612" s="2" t="str">
        <f aca="false">IFERROR(__xludf.dummyfunction("""COMPUTED_VALUE"""),"SRCM/DZA/0343")</f>
        <v>SRCM/DZA/0343</v>
      </c>
      <c r="B612" s="2" t="str">
        <f aca="false">IFERROR(__xludf.dummyfunction("""COMPUTED_VALUE"""),"Ajay Saini")</f>
        <v>Ajay Saini</v>
      </c>
      <c r="C612" s="2" t="str">
        <f aca="false">IFERROR(__xludf.dummyfunction("""COMPUTED_VALUE"""),"Garden")</f>
        <v>Garden</v>
      </c>
      <c r="D612" s="2" t="str">
        <f aca="false">IFERROR(__xludf.dummyfunction("""COMPUTED_VALUE"""),"DELHI ZONAL ASHRAM")</f>
        <v>DELHI ZONAL ASHRAM</v>
      </c>
      <c r="E612" s="2"/>
      <c r="F612" s="9" t="n">
        <f aca="false">IFERROR(__xludf.dummyfunction("""COMPUTED_VALUE"""),24200)</f>
        <v>24200</v>
      </c>
      <c r="G612" s="2" t="n">
        <f aca="false">IFERROR(__xludf.dummyfunction("""COMPUTED_VALUE"""),30)</f>
        <v>30</v>
      </c>
      <c r="H612" s="2" t="n">
        <f aca="false">IFERROR(__xludf.dummyfunction("""COMPUTED_VALUE"""),30)</f>
        <v>30</v>
      </c>
      <c r="I612" s="9" t="n">
        <f aca="false">IFERROR(__xludf.dummyfunction("""COMPUTED_VALUE"""),290400)</f>
        <v>290400</v>
      </c>
      <c r="J612" s="9" t="n">
        <f aca="false">IFERROR(__xludf.dummyfunction("""COMPUTED_VALUE"""),287)</f>
        <v>287</v>
      </c>
      <c r="K612" s="9" t="n">
        <f aca="false">IFERROR(__xludf.dummyfunction("""COMPUTED_VALUE"""),0)</f>
        <v>0</v>
      </c>
      <c r="L612" s="9"/>
      <c r="M612" s="9"/>
    </row>
    <row r="613" customFormat="false" ht="15.75" hidden="false" customHeight="false" outlineLevel="0" collapsed="false">
      <c r="A613" s="2" t="str">
        <f aca="false">IFERROR(__xludf.dummyfunction("""COMPUTED_VALUE"""),"SRCM/AWR/1478")</f>
        <v>SRCM/AWR/1478</v>
      </c>
      <c r="B613" s="2" t="str">
        <f aca="false">IFERROR(__xludf.dummyfunction("""COMPUTED_VALUE"""),"Desh raj Meena")</f>
        <v>Desh raj Meena</v>
      </c>
      <c r="C613" s="2" t="str">
        <f aca="false">IFERROR(__xludf.dummyfunction("""COMPUTED_VALUE"""),"Care Taker")</f>
        <v>Care Taker</v>
      </c>
      <c r="D613" s="2" t="str">
        <f aca="false">IFERROR(__xludf.dummyfunction("""COMPUTED_VALUE"""),"ALWAR")</f>
        <v>ALWAR</v>
      </c>
      <c r="E613" s="2"/>
      <c r="F613" s="9" t="n">
        <f aca="false">IFERROR(__xludf.dummyfunction("""COMPUTED_VALUE"""),7000)</f>
        <v>7000</v>
      </c>
      <c r="G613" s="2" t="n">
        <f aca="false">IFERROR(__xludf.dummyfunction("""COMPUTED_VALUE"""),30)</f>
        <v>30</v>
      </c>
      <c r="H613" s="2" t="n">
        <f aca="false">IFERROR(__xludf.dummyfunction("""COMPUTED_VALUE"""),30)</f>
        <v>30</v>
      </c>
      <c r="I613" s="9" t="n">
        <f aca="false">IFERROR(__xludf.dummyfunction("""COMPUTED_VALUE"""),84000)</f>
        <v>84000</v>
      </c>
      <c r="J613" s="9" t="n">
        <f aca="false">IFERROR(__xludf.dummyfunction("""COMPUTED_VALUE"""),865)</f>
        <v>865</v>
      </c>
      <c r="K613" s="9" t="n">
        <f aca="false">IFERROR(__xludf.dummyfunction("""COMPUTED_VALUE"""),0)</f>
        <v>0</v>
      </c>
      <c r="L613" s="9"/>
      <c r="M613" s="9"/>
    </row>
    <row r="614" customFormat="false" ht="15.75" hidden="false" customHeight="false" outlineLevel="0" collapsed="false">
      <c r="A614" s="2" t="str">
        <f aca="false">IFERROR(__xludf.dummyfunction("""COMPUTED_VALUE"""),"SRCM/CBE/1479")</f>
        <v>SRCM/CBE/1479</v>
      </c>
      <c r="B614" s="2" t="str">
        <f aca="false">IFERROR(__xludf.dummyfunction("""COMPUTED_VALUE"""),"Balasubramanian V")</f>
        <v>Balasubramanian V</v>
      </c>
      <c r="C614" s="2" t="str">
        <f aca="false">IFERROR(__xludf.dummyfunction("""COMPUTED_VALUE"""),"HFI")</f>
        <v>HFI</v>
      </c>
      <c r="D614" s="2" t="str">
        <f aca="false">IFERROR(__xludf.dummyfunction("""COMPUTED_VALUE"""),"Coimbatore")</f>
        <v>Coimbatore</v>
      </c>
      <c r="E614" s="16" t="n">
        <f aca="false">IFERROR(__xludf.dummyfunction("""COMPUTED_VALUE"""),43474)</f>
        <v>43474</v>
      </c>
      <c r="F614" s="9" t="n">
        <f aca="false">IFERROR(__xludf.dummyfunction("""COMPUTED_VALUE"""),10000)</f>
        <v>10000</v>
      </c>
      <c r="G614" s="2" t="n">
        <f aca="false">IFERROR(__xludf.dummyfunction("""COMPUTED_VALUE"""),30)</f>
        <v>30</v>
      </c>
      <c r="H614" s="2" t="n">
        <f aca="false">IFERROR(__xludf.dummyfunction("""COMPUTED_VALUE"""),30)</f>
        <v>30</v>
      </c>
      <c r="I614" s="9" t="n">
        <f aca="false">IFERROR(__xludf.dummyfunction("""COMPUTED_VALUE"""),120000)</f>
        <v>120000</v>
      </c>
      <c r="J614" s="9" t="n">
        <f aca="false">IFERROR(__xludf.dummyfunction("""COMPUTED_VALUE"""),0)</f>
        <v>0</v>
      </c>
      <c r="K614" s="9" t="n">
        <f aca="false">IFERROR(__xludf.dummyfunction("""COMPUTED_VALUE"""),0)</f>
        <v>0</v>
      </c>
      <c r="L614" s="9"/>
      <c r="M614" s="9"/>
    </row>
    <row r="615" customFormat="false" ht="15.75" hidden="false" customHeight="false" outlineLevel="0" collapsed="false">
      <c r="A615" s="2" t="str">
        <f aca="false">IFERROR(__xludf.dummyfunction("""COMPUTED_VALUE"""),"SRCM/CBE/1480")</f>
        <v>SRCM/CBE/1480</v>
      </c>
      <c r="B615" s="2" t="str">
        <f aca="false">IFERROR(__xludf.dummyfunction("""COMPUTED_VALUE"""),"JANAKI.S")</f>
        <v>JANAKI.S</v>
      </c>
      <c r="C615" s="2" t="str">
        <f aca="false">IFERROR(__xludf.dummyfunction("""COMPUTED_VALUE"""),"HFI")</f>
        <v>HFI</v>
      </c>
      <c r="D615" s="2" t="str">
        <f aca="false">IFERROR(__xludf.dummyfunction("""COMPUTED_VALUE"""),"Coimbatore")</f>
        <v>Coimbatore</v>
      </c>
      <c r="E615" s="2"/>
      <c r="F615" s="9" t="n">
        <f aca="false">IFERROR(__xludf.dummyfunction("""COMPUTED_VALUE"""),10000)</f>
        <v>10000</v>
      </c>
      <c r="G615" s="2" t="n">
        <f aca="false">IFERROR(__xludf.dummyfunction("""COMPUTED_VALUE"""),30)</f>
        <v>30</v>
      </c>
      <c r="H615" s="2" t="n">
        <f aca="false">IFERROR(__xludf.dummyfunction("""COMPUTED_VALUE"""),30)</f>
        <v>30</v>
      </c>
      <c r="I615" s="9" t="n">
        <f aca="false">IFERROR(__xludf.dummyfunction("""COMPUTED_VALUE"""),120000)</f>
        <v>120000</v>
      </c>
      <c r="J615" s="9" t="n">
        <f aca="false">IFERROR(__xludf.dummyfunction("""COMPUTED_VALUE"""),504)</f>
        <v>504</v>
      </c>
      <c r="K615" s="9" t="n">
        <f aca="false">IFERROR(__xludf.dummyfunction("""COMPUTED_VALUE"""),0)</f>
        <v>0</v>
      </c>
      <c r="L615" s="9"/>
      <c r="M615" s="9"/>
    </row>
    <row r="616" customFormat="false" ht="15.75" hidden="false" customHeight="false" outlineLevel="0" collapsed="false">
      <c r="A616" s="2" t="str">
        <f aca="false">IFERROR(__xludf.dummyfunction("""COMPUTED_VALUE"""),"SRCM/NOI/1527")</f>
        <v>SRCM/NOI/1527</v>
      </c>
      <c r="B616" s="2" t="str">
        <f aca="false">IFERROR(__xludf.dummyfunction("""COMPUTED_VALUE"""),"Neha Rajan")</f>
        <v>Neha Rajan</v>
      </c>
      <c r="C616" s="2" t="str">
        <f aca="false">IFERROR(__xludf.dummyfunction("""COMPUTED_VALUE"""),"HFN")</f>
        <v>HFN</v>
      </c>
      <c r="D616" s="2" t="str">
        <f aca="false">IFERROR(__xludf.dummyfunction("""COMPUTED_VALUE"""),"Noida")</f>
        <v>Noida</v>
      </c>
      <c r="E616" s="16" t="n">
        <f aca="false">IFERROR(__xludf.dummyfunction("""COMPUTED_VALUE"""),43477)</f>
        <v>43477</v>
      </c>
      <c r="F616" s="9" t="n">
        <f aca="false">IFERROR(__xludf.dummyfunction("""COMPUTED_VALUE"""),15000)</f>
        <v>15000</v>
      </c>
      <c r="G616" s="2" t="n">
        <f aca="false">IFERROR(__xludf.dummyfunction("""COMPUTED_VALUE"""),30)</f>
        <v>30</v>
      </c>
      <c r="H616" s="2" t="n">
        <f aca="false">IFERROR(__xludf.dummyfunction("""COMPUTED_VALUE"""),30)</f>
        <v>30</v>
      </c>
      <c r="I616" s="9" t="n">
        <f aca="false">IFERROR(__xludf.dummyfunction("""COMPUTED_VALUE"""),180000)</f>
        <v>180000</v>
      </c>
      <c r="J616" s="9" t="n">
        <f aca="false">IFERROR(__xludf.dummyfunction("""COMPUTED_VALUE"""),774)</f>
        <v>774</v>
      </c>
      <c r="K616" s="9" t="n">
        <f aca="false">IFERROR(__xludf.dummyfunction("""COMPUTED_VALUE"""),0)</f>
        <v>0</v>
      </c>
      <c r="L616" s="9"/>
      <c r="M616" s="9"/>
    </row>
    <row r="617" customFormat="false" ht="15.75" hidden="false" customHeight="false" outlineLevel="0" collapsed="false">
      <c r="A617" s="2" t="str">
        <f aca="false">IFERROR(__xludf.dummyfunction("""COMPUTED_VALUE"""),"SRC/KAN/0939")</f>
        <v>SRC/KAN/0939</v>
      </c>
      <c r="B617" s="2" t="str">
        <f aca="false">IFERROR(__xludf.dummyfunction("""COMPUTED_VALUE"""),"REDDY SATISH KUMAR")</f>
        <v>REDDY SATISH KUMAR</v>
      </c>
      <c r="C617" s="2" t="str">
        <f aca="false">IFERROR(__xludf.dummyfunction("""COMPUTED_VALUE"""),"KITCHEN")</f>
        <v>KITCHEN</v>
      </c>
      <c r="D617" s="2" t="str">
        <f aca="false">IFERROR(__xludf.dummyfunction("""COMPUTED_VALUE"""),"Kanha")</f>
        <v>Kanha</v>
      </c>
      <c r="E617" s="16" t="n">
        <f aca="false">IFERROR(__xludf.dummyfunction("""COMPUTED_VALUE"""),42476)</f>
        <v>42476</v>
      </c>
      <c r="F617" s="9" t="n">
        <f aca="false">IFERROR(__xludf.dummyfunction("""COMPUTED_VALUE"""),15000)</f>
        <v>15000</v>
      </c>
      <c r="G617" s="2" t="n">
        <f aca="false">IFERROR(__xludf.dummyfunction("""COMPUTED_VALUE"""),30)</f>
        <v>30</v>
      </c>
      <c r="H617" s="2" t="n">
        <f aca="false">IFERROR(__xludf.dummyfunction("""COMPUTED_VALUE"""),30)</f>
        <v>30</v>
      </c>
      <c r="I617" s="9" t="n">
        <f aca="false">IFERROR(__xludf.dummyfunction("""COMPUTED_VALUE"""),180000)</f>
        <v>180000</v>
      </c>
      <c r="J617" s="9" t="n">
        <f aca="false">IFERROR(__xludf.dummyfunction("""COMPUTED_VALUE"""),84)</f>
        <v>84</v>
      </c>
      <c r="K617" s="9"/>
      <c r="L617" s="9" t="n">
        <f aca="false">IFERROR(__xludf.dummyfunction("""COMPUTED_VALUE"""),0)</f>
        <v>0</v>
      </c>
      <c r="M617" s="9"/>
    </row>
    <row r="618" customFormat="false" ht="15.75" hidden="false" customHeight="false" outlineLevel="0" collapsed="false">
      <c r="A618" s="2" t="str">
        <f aca="false">IFERROR(__xludf.dummyfunction("""COMPUTED_VALUE"""),"SRC/KAN/0940")</f>
        <v>SRC/KAN/0940</v>
      </c>
      <c r="B618" s="2" t="str">
        <f aca="false">IFERROR(__xludf.dummyfunction("""COMPUTED_VALUE"""),"SANJAY KUMAR")</f>
        <v>SANJAY KUMAR</v>
      </c>
      <c r="C618" s="2" t="str">
        <f aca="false">IFERROR(__xludf.dummyfunction("""COMPUTED_VALUE"""),"KITCHEN")</f>
        <v>KITCHEN</v>
      </c>
      <c r="D618" s="2" t="str">
        <f aca="false">IFERROR(__xludf.dummyfunction("""COMPUTED_VALUE"""),"Kanha")</f>
        <v>Kanha</v>
      </c>
      <c r="E618" s="16" t="n">
        <f aca="false">IFERROR(__xludf.dummyfunction("""COMPUTED_VALUE"""),42549)</f>
        <v>42549</v>
      </c>
      <c r="F618" s="9" t="n">
        <f aca="false">IFERROR(__xludf.dummyfunction("""COMPUTED_VALUE"""),15000)</f>
        <v>15000</v>
      </c>
      <c r="G618" s="2" t="n">
        <f aca="false">IFERROR(__xludf.dummyfunction("""COMPUTED_VALUE"""),30)</f>
        <v>30</v>
      </c>
      <c r="H618" s="2" t="n">
        <f aca="false">IFERROR(__xludf.dummyfunction("""COMPUTED_VALUE"""),30)</f>
        <v>30</v>
      </c>
      <c r="I618" s="9" t="n">
        <f aca="false">IFERROR(__xludf.dummyfunction("""COMPUTED_VALUE"""),180000)</f>
        <v>180000</v>
      </c>
      <c r="J618" s="9" t="n">
        <f aca="false">IFERROR(__xludf.dummyfunction("""COMPUTED_VALUE"""),56)</f>
        <v>56</v>
      </c>
      <c r="K618" s="9"/>
      <c r="L618" s="9" t="n">
        <f aca="false">IFERROR(__xludf.dummyfunction("""COMPUTED_VALUE"""),0)</f>
        <v>0</v>
      </c>
      <c r="M618" s="9"/>
    </row>
    <row r="619" customFormat="false" ht="15.75" hidden="false" customHeight="false" outlineLevel="0" collapsed="false">
      <c r="A619" s="2" t="str">
        <f aca="false">IFERROR(__xludf.dummyfunction("""COMPUTED_VALUE"""),"SRC/KAN/0941")</f>
        <v>SRC/KAN/0941</v>
      </c>
      <c r="B619" s="2" t="str">
        <f aca="false">IFERROR(__xludf.dummyfunction("""COMPUTED_VALUE"""),"V.KOTI APPARAO")</f>
        <v>V.KOTI APPARAO</v>
      </c>
      <c r="C619" s="2" t="str">
        <f aca="false">IFERROR(__xludf.dummyfunction("""COMPUTED_VALUE"""),"KITCHEN")</f>
        <v>KITCHEN</v>
      </c>
      <c r="D619" s="2" t="str">
        <f aca="false">IFERROR(__xludf.dummyfunction("""COMPUTED_VALUE"""),"Kanha")</f>
        <v>Kanha</v>
      </c>
      <c r="E619" s="16" t="n">
        <f aca="false">IFERROR(__xludf.dummyfunction("""COMPUTED_VALUE"""),43009)</f>
        <v>43009</v>
      </c>
      <c r="F619" s="9" t="n">
        <f aca="false">IFERROR(__xludf.dummyfunction("""COMPUTED_VALUE"""),23650)</f>
        <v>23650</v>
      </c>
      <c r="G619" s="2" t="n">
        <f aca="false">IFERROR(__xludf.dummyfunction("""COMPUTED_VALUE"""),30)</f>
        <v>30</v>
      </c>
      <c r="H619" s="2" t="n">
        <f aca="false">IFERROR(__xludf.dummyfunction("""COMPUTED_VALUE"""),30)</f>
        <v>30</v>
      </c>
      <c r="I619" s="9" t="n">
        <f aca="false">IFERROR(__xludf.dummyfunction("""COMPUTED_VALUE"""),283800)</f>
        <v>283800</v>
      </c>
      <c r="J619" s="9" t="n">
        <f aca="false">IFERROR(__xludf.dummyfunction("""COMPUTED_VALUE"""),315)</f>
        <v>315</v>
      </c>
      <c r="K619" s="9"/>
      <c r="L619" s="9" t="n">
        <f aca="false">IFERROR(__xludf.dummyfunction("""COMPUTED_VALUE"""),0)</f>
        <v>0</v>
      </c>
      <c r="M619" s="9"/>
    </row>
    <row r="620" customFormat="false" ht="15.75" hidden="false" customHeight="false" outlineLevel="0" collapsed="false">
      <c r="A620" s="2" t="str">
        <f aca="false">IFERROR(__xludf.dummyfunction("""COMPUTED_VALUE"""),"SRC/KAN/0942")</f>
        <v>SRC/KAN/0942</v>
      </c>
      <c r="B620" s="2" t="str">
        <f aca="false">IFERROR(__xludf.dummyfunction("""COMPUTED_VALUE"""),"V.TRINADH(Thrimulthulu)")</f>
        <v>V.TRINADH(Thrimulthulu)</v>
      </c>
      <c r="C620" s="2" t="str">
        <f aca="false">IFERROR(__xludf.dummyfunction("""COMPUTED_VALUE"""),"KITCHEN")</f>
        <v>KITCHEN</v>
      </c>
      <c r="D620" s="2" t="str">
        <f aca="false">IFERROR(__xludf.dummyfunction("""COMPUTED_VALUE"""),"Kanha")</f>
        <v>Kanha</v>
      </c>
      <c r="E620" s="16" t="n">
        <f aca="false">IFERROR(__xludf.dummyfunction("""COMPUTED_VALUE"""),43009)</f>
        <v>43009</v>
      </c>
      <c r="F620" s="9" t="n">
        <f aca="false">IFERROR(__xludf.dummyfunction("""COMPUTED_VALUE"""),19350)</f>
        <v>19350</v>
      </c>
      <c r="G620" s="2" t="n">
        <f aca="false">IFERROR(__xludf.dummyfunction("""COMPUTED_VALUE"""),30)</f>
        <v>30</v>
      </c>
      <c r="H620" s="2" t="n">
        <f aca="false">IFERROR(__xludf.dummyfunction("""COMPUTED_VALUE"""),30)</f>
        <v>30</v>
      </c>
      <c r="I620" s="9" t="n">
        <f aca="false">IFERROR(__xludf.dummyfunction("""COMPUTED_VALUE"""),232200)</f>
        <v>232200</v>
      </c>
      <c r="J620" s="9" t="n">
        <f aca="false">IFERROR(__xludf.dummyfunction("""COMPUTED_VALUE"""),224)</f>
        <v>224</v>
      </c>
      <c r="K620" s="9"/>
      <c r="L620" s="9" t="n">
        <f aca="false">IFERROR(__xludf.dummyfunction("""COMPUTED_VALUE"""),0)</f>
        <v>0</v>
      </c>
      <c r="M620" s="9"/>
    </row>
    <row r="621" customFormat="false" ht="15.75" hidden="false" customHeight="false" outlineLevel="0" collapsed="false">
      <c r="A621" s="2" t="str">
        <f aca="false">IFERROR(__xludf.dummyfunction("""COMPUTED_VALUE"""),"SRC/KAN/0897")</f>
        <v>SRC/KAN/0897</v>
      </c>
      <c r="B621" s="2" t="str">
        <f aca="false">IFERROR(__xludf.dummyfunction("""COMPUTED_VALUE"""),"SANTOSH KUMAR LENKA")</f>
        <v>SANTOSH KUMAR LENKA</v>
      </c>
      <c r="C621" s="2" t="str">
        <f aca="false">IFERROR(__xludf.dummyfunction("""COMPUTED_VALUE"""),"RESTAURANT")</f>
        <v>RESTAURANT</v>
      </c>
      <c r="D621" s="2" t="str">
        <f aca="false">IFERROR(__xludf.dummyfunction("""COMPUTED_VALUE"""),"Kanha")</f>
        <v>Kanha</v>
      </c>
      <c r="E621" s="16" t="n">
        <f aca="false">IFERROR(__xludf.dummyfunction("""COMPUTED_VALUE"""),43290)</f>
        <v>43290</v>
      </c>
      <c r="F621" s="9" t="n">
        <f aca="false">IFERROR(__xludf.dummyfunction("""COMPUTED_VALUE"""),25000)</f>
        <v>25000</v>
      </c>
      <c r="G621" s="2" t="n">
        <f aca="false">IFERROR(__xludf.dummyfunction("""COMPUTED_VALUE"""),30)</f>
        <v>30</v>
      </c>
      <c r="H621" s="2" t="n">
        <f aca="false">IFERROR(__xludf.dummyfunction("""COMPUTED_VALUE"""),30)</f>
        <v>30</v>
      </c>
      <c r="I621" s="9" t="n">
        <f aca="false">IFERROR(__xludf.dummyfunction("""COMPUTED_VALUE"""),300000)</f>
        <v>300000</v>
      </c>
      <c r="J621" s="9" t="n">
        <f aca="false">IFERROR(__xludf.dummyfunction("""COMPUTED_VALUE"""),84)</f>
        <v>84</v>
      </c>
      <c r="K621" s="9"/>
      <c r="L621" s="9" t="n">
        <f aca="false">IFERROR(__xludf.dummyfunction("""COMPUTED_VALUE"""),0)</f>
        <v>0</v>
      </c>
      <c r="M621" s="9"/>
    </row>
    <row r="622" customFormat="false" ht="15.75" hidden="false" customHeight="false" outlineLevel="0" collapsed="false">
      <c r="A622" s="2" t="str">
        <f aca="false">IFERROR(__xludf.dummyfunction("""COMPUTED_VALUE"""),"SRC/KAN/0896")</f>
        <v>SRC/KAN/0896</v>
      </c>
      <c r="B622" s="2" t="str">
        <f aca="false">IFERROR(__xludf.dummyfunction("""COMPUTED_VALUE"""),"RAM CHANDRA")</f>
        <v>RAM CHANDRA</v>
      </c>
      <c r="C622" s="2" t="str">
        <f aca="false">IFERROR(__xludf.dummyfunction("""COMPUTED_VALUE"""),"RESTAURANT")</f>
        <v>RESTAURANT</v>
      </c>
      <c r="D622" s="2" t="str">
        <f aca="false">IFERROR(__xludf.dummyfunction("""COMPUTED_VALUE"""),"Kanha")</f>
        <v>Kanha</v>
      </c>
      <c r="E622" s="16" t="n">
        <f aca="false">IFERROR(__xludf.dummyfunction("""COMPUTED_VALUE"""),43290)</f>
        <v>43290</v>
      </c>
      <c r="F622" s="9" t="n">
        <f aca="false">IFERROR(__xludf.dummyfunction("""COMPUTED_VALUE"""),18000)</f>
        <v>18000</v>
      </c>
      <c r="G622" s="2" t="n">
        <f aca="false">IFERROR(__xludf.dummyfunction("""COMPUTED_VALUE"""),30)</f>
        <v>30</v>
      </c>
      <c r="H622" s="2" t="n">
        <f aca="false">IFERROR(__xludf.dummyfunction("""COMPUTED_VALUE"""),30)</f>
        <v>30</v>
      </c>
      <c r="I622" s="9" t="n">
        <f aca="false">IFERROR(__xludf.dummyfunction("""COMPUTED_VALUE"""),216000)</f>
        <v>216000</v>
      </c>
      <c r="J622" s="9" t="n">
        <f aca="false">IFERROR(__xludf.dummyfunction("""COMPUTED_VALUE"""),241)</f>
        <v>241</v>
      </c>
      <c r="K622" s="9"/>
      <c r="L622" s="9" t="n">
        <f aca="false">IFERROR(__xludf.dummyfunction("""COMPUTED_VALUE"""),0)</f>
        <v>0</v>
      </c>
      <c r="M622" s="9"/>
    </row>
    <row r="623" customFormat="false" ht="15.75" hidden="false" customHeight="false" outlineLevel="0" collapsed="false">
      <c r="A623" s="2" t="str">
        <f aca="false">IFERROR(__xludf.dummyfunction("""COMPUTED_VALUE"""),"SRC/KAN/0947")</f>
        <v>SRC/KAN/0947</v>
      </c>
      <c r="B623" s="2" t="str">
        <f aca="false">IFERROR(__xludf.dummyfunction("""COMPUTED_VALUE"""),"CHAKALI.RADHA KRISHNA    ")</f>
        <v>CHAKALI.RADHA KRISHNA    </v>
      </c>
      <c r="C623" s="2" t="str">
        <f aca="false">IFERROR(__xludf.dummyfunction("""COMPUTED_VALUE"""),"KITCHEN")</f>
        <v>KITCHEN</v>
      </c>
      <c r="D623" s="2" t="str">
        <f aca="false">IFERROR(__xludf.dummyfunction("""COMPUTED_VALUE"""),"Kanha")</f>
        <v>Kanha</v>
      </c>
      <c r="E623" s="16" t="n">
        <f aca="false">IFERROR(__xludf.dummyfunction("""COMPUTED_VALUE"""),43305)</f>
        <v>43305</v>
      </c>
      <c r="F623" s="9" t="n">
        <f aca="false">IFERROR(__xludf.dummyfunction("""COMPUTED_VALUE"""),11000)</f>
        <v>11000</v>
      </c>
      <c r="G623" s="2" t="n">
        <f aca="false">IFERROR(__xludf.dummyfunction("""COMPUTED_VALUE"""),30)</f>
        <v>30</v>
      </c>
      <c r="H623" s="2" t="n">
        <f aca="false">IFERROR(__xludf.dummyfunction("""COMPUTED_VALUE"""),30)</f>
        <v>30</v>
      </c>
      <c r="I623" s="9" t="n">
        <f aca="false">IFERROR(__xludf.dummyfunction("""COMPUTED_VALUE"""),132000)</f>
        <v>132000</v>
      </c>
      <c r="J623" s="9" t="n">
        <f aca="false">IFERROR(__xludf.dummyfunction("""COMPUTED_VALUE"""),287)</f>
        <v>287</v>
      </c>
      <c r="K623" s="9"/>
      <c r="L623" s="9" t="n">
        <f aca="false">IFERROR(__xludf.dummyfunction("""COMPUTED_VALUE"""),0)</f>
        <v>0</v>
      </c>
      <c r="M623" s="9"/>
    </row>
    <row r="624" customFormat="false" ht="15.75" hidden="false" customHeight="false" outlineLevel="0" collapsed="false">
      <c r="A624" s="2" t="str">
        <f aca="false">IFERROR(__xludf.dummyfunction("""COMPUTED_VALUE"""),"SRC/KAN/0821")</f>
        <v>SRC/KAN/0821</v>
      </c>
      <c r="B624" s="2" t="str">
        <f aca="false">IFERROR(__xludf.dummyfunction("""COMPUTED_VALUE"""),"CHANA RAM")</f>
        <v>CHANA RAM</v>
      </c>
      <c r="C624" s="2" t="str">
        <f aca="false">IFERROR(__xludf.dummyfunction("""COMPUTED_VALUE"""),"RESTAURANT")</f>
        <v>RESTAURANT</v>
      </c>
      <c r="D624" s="2" t="str">
        <f aca="false">IFERROR(__xludf.dummyfunction("""COMPUTED_VALUE"""),"Kanha")</f>
        <v>Kanha</v>
      </c>
      <c r="E624" s="16" t="n">
        <f aca="false">IFERROR(__xludf.dummyfunction("""COMPUTED_VALUE"""),43315)</f>
        <v>43315</v>
      </c>
      <c r="F624" s="9" t="n">
        <f aca="false">IFERROR(__xludf.dummyfunction("""COMPUTED_VALUE"""),22000)</f>
        <v>22000</v>
      </c>
      <c r="G624" s="2" t="n">
        <f aca="false">IFERROR(__xludf.dummyfunction("""COMPUTED_VALUE"""),30)</f>
        <v>30</v>
      </c>
      <c r="H624" s="2" t="n">
        <f aca="false">IFERROR(__xludf.dummyfunction("""COMPUTED_VALUE"""),30)</f>
        <v>30</v>
      </c>
      <c r="I624" s="9" t="n">
        <f aca="false">IFERROR(__xludf.dummyfunction("""COMPUTED_VALUE"""),264000)</f>
        <v>264000</v>
      </c>
      <c r="J624" s="9" t="n">
        <f aca="false">IFERROR(__xludf.dummyfunction("""COMPUTED_VALUE"""),419)</f>
        <v>419</v>
      </c>
      <c r="K624" s="9"/>
      <c r="L624" s="9" t="n">
        <f aca="false">IFERROR(__xludf.dummyfunction("""COMPUTED_VALUE"""),0)</f>
        <v>0</v>
      </c>
      <c r="M624" s="9"/>
    </row>
    <row r="625" customFormat="false" ht="15.75" hidden="false" customHeight="false" outlineLevel="0" collapsed="false">
      <c r="A625" s="2" t="str">
        <f aca="false">IFERROR(__xludf.dummyfunction("""COMPUTED_VALUE"""),"SRC/KAN/0956")</f>
        <v>SRC/KAN/0956</v>
      </c>
      <c r="B625" s="2" t="str">
        <f aca="false">IFERROR(__xludf.dummyfunction("""COMPUTED_VALUE"""),"K.SATYAVANI")</f>
        <v>K.SATYAVANI</v>
      </c>
      <c r="C625" s="2" t="str">
        <f aca="false">IFERROR(__xludf.dummyfunction("""COMPUTED_VALUE"""),"RESTAURANT")</f>
        <v>RESTAURANT</v>
      </c>
      <c r="D625" s="2" t="str">
        <f aca="false">IFERROR(__xludf.dummyfunction("""COMPUTED_VALUE"""),"Kanha")</f>
        <v>Kanha</v>
      </c>
      <c r="E625" s="16" t="n">
        <f aca="false">IFERROR(__xludf.dummyfunction("""COMPUTED_VALUE"""),43331)</f>
        <v>43331</v>
      </c>
      <c r="F625" s="9" t="n">
        <f aca="false">IFERROR(__xludf.dummyfunction("""COMPUTED_VALUE"""),8000)</f>
        <v>8000</v>
      </c>
      <c r="G625" s="2" t="n">
        <f aca="false">IFERROR(__xludf.dummyfunction("""COMPUTED_VALUE"""),30)</f>
        <v>30</v>
      </c>
      <c r="H625" s="2" t="n">
        <f aca="false">IFERROR(__xludf.dummyfunction("""COMPUTED_VALUE"""),30)</f>
        <v>30</v>
      </c>
      <c r="I625" s="9" t="n">
        <f aca="false">IFERROR(__xludf.dummyfunction("""COMPUTED_VALUE"""),96000)</f>
        <v>96000</v>
      </c>
      <c r="J625" s="9" t="n">
        <f aca="false">IFERROR(__xludf.dummyfunction("""COMPUTED_VALUE"""),0)</f>
        <v>0</v>
      </c>
      <c r="K625" s="9"/>
      <c r="L625" s="9" t="n">
        <f aca="false">IFERROR(__xludf.dummyfunction("""COMPUTED_VALUE"""),0)</f>
        <v>0</v>
      </c>
      <c r="M625" s="9"/>
    </row>
    <row r="626" customFormat="false" ht="15.75" hidden="false" customHeight="false" outlineLevel="0" collapsed="false">
      <c r="A626" s="2" t="str">
        <f aca="false">IFERROR(__xludf.dummyfunction("""COMPUTED_VALUE"""),"SRC/KAN/0949")</f>
        <v>SRC/KAN/0949</v>
      </c>
      <c r="B626" s="2" t="str">
        <f aca="false">IFERROR(__xludf.dummyfunction("""COMPUTED_VALUE"""),"M. DHANA LAKSHMI")</f>
        <v>M. DHANA LAKSHMI</v>
      </c>
      <c r="C626" s="2" t="str">
        <f aca="false">IFERROR(__xludf.dummyfunction("""COMPUTED_VALUE"""),"KITCHEN")</f>
        <v>KITCHEN</v>
      </c>
      <c r="D626" s="2" t="str">
        <f aca="false">IFERROR(__xludf.dummyfunction("""COMPUTED_VALUE"""),"Kanha")</f>
        <v>Kanha</v>
      </c>
      <c r="E626" s="16" t="n">
        <f aca="false">IFERROR(__xludf.dummyfunction("""COMPUTED_VALUE"""),43333)</f>
        <v>43333</v>
      </c>
      <c r="F626" s="9" t="n">
        <f aca="false">IFERROR(__xludf.dummyfunction("""COMPUTED_VALUE"""),9000)</f>
        <v>9000</v>
      </c>
      <c r="G626" s="2" t="n">
        <f aca="false">IFERROR(__xludf.dummyfunction("""COMPUTED_VALUE"""),30)</f>
        <v>30</v>
      </c>
      <c r="H626" s="2" t="n">
        <f aca="false">IFERROR(__xludf.dummyfunction("""COMPUTED_VALUE"""),30)</f>
        <v>30</v>
      </c>
      <c r="I626" s="9" t="n">
        <f aca="false">IFERROR(__xludf.dummyfunction("""COMPUTED_VALUE"""),108000)</f>
        <v>108000</v>
      </c>
      <c r="J626" s="9" t="n">
        <f aca="false">IFERROR(__xludf.dummyfunction("""COMPUTED_VALUE"""),56)</f>
        <v>56</v>
      </c>
      <c r="K626" s="9"/>
      <c r="L626" s="9" t="n">
        <f aca="false">IFERROR(__xludf.dummyfunction("""COMPUTED_VALUE"""),0)</f>
        <v>0</v>
      </c>
      <c r="M626" s="9"/>
    </row>
    <row r="627" customFormat="false" ht="15.75" hidden="false" customHeight="false" outlineLevel="0" collapsed="false">
      <c r="A627" s="2" t="str">
        <f aca="false">IFERROR(__xludf.dummyfunction("""COMPUTED_VALUE"""),"SRC/KAN/0950")</f>
        <v>SRC/KAN/0950</v>
      </c>
      <c r="B627" s="2" t="str">
        <f aca="false">IFERROR(__xludf.dummyfunction("""COMPUTED_VALUE"""),"K. KONDA BABU")</f>
        <v>K. KONDA BABU</v>
      </c>
      <c r="C627" s="2" t="str">
        <f aca="false">IFERROR(__xludf.dummyfunction("""COMPUTED_VALUE"""),"KITCHEN")</f>
        <v>KITCHEN</v>
      </c>
      <c r="D627" s="2" t="str">
        <f aca="false">IFERROR(__xludf.dummyfunction("""COMPUTED_VALUE"""),"Kanha")</f>
        <v>Kanha</v>
      </c>
      <c r="E627" s="16" t="n">
        <f aca="false">IFERROR(__xludf.dummyfunction("""COMPUTED_VALUE"""),43338)</f>
        <v>43338</v>
      </c>
      <c r="F627" s="9" t="n">
        <f aca="false">IFERROR(__xludf.dummyfunction("""COMPUTED_VALUE"""),12100)</f>
        <v>12100</v>
      </c>
      <c r="G627" s="2" t="n">
        <f aca="false">IFERROR(__xludf.dummyfunction("""COMPUTED_VALUE"""),30)</f>
        <v>30</v>
      </c>
      <c r="H627" s="2" t="n">
        <f aca="false">IFERROR(__xludf.dummyfunction("""COMPUTED_VALUE"""),30)</f>
        <v>30</v>
      </c>
      <c r="I627" s="9" t="n">
        <f aca="false">IFERROR(__xludf.dummyfunction("""COMPUTED_VALUE"""),145200)</f>
        <v>145200</v>
      </c>
      <c r="J627" s="9" t="n">
        <f aca="false">IFERROR(__xludf.dummyfunction("""COMPUTED_VALUE"""),216)</f>
        <v>216</v>
      </c>
      <c r="K627" s="9"/>
      <c r="L627" s="9" t="n">
        <f aca="false">IFERROR(__xludf.dummyfunction("""COMPUTED_VALUE"""),0)</f>
        <v>0</v>
      </c>
      <c r="M627" s="9"/>
    </row>
    <row r="628" customFormat="false" ht="15.75" hidden="false" customHeight="false" outlineLevel="0" collapsed="false">
      <c r="A628" s="2" t="str">
        <f aca="false">IFERROR(__xludf.dummyfunction("""COMPUTED_VALUE"""),"SRC/KAN/0811")</f>
        <v>SRC/KAN/0811</v>
      </c>
      <c r="B628" s="2" t="str">
        <f aca="false">IFERROR(__xludf.dummyfunction("""COMPUTED_VALUE"""),"HITESH SHIV PRASAD BHATT")</f>
        <v>HITESH SHIV PRASAD BHATT</v>
      </c>
      <c r="C628" s="2" t="str">
        <f aca="false">IFERROR(__xludf.dummyfunction("""COMPUTED_VALUE"""),"RESTAURANT")</f>
        <v>RESTAURANT</v>
      </c>
      <c r="D628" s="2" t="str">
        <f aca="false">IFERROR(__xludf.dummyfunction("""COMPUTED_VALUE"""),"Kanha")</f>
        <v>Kanha</v>
      </c>
      <c r="E628" s="16" t="n">
        <f aca="false">IFERROR(__xludf.dummyfunction("""COMPUTED_VALUE"""),43344)</f>
        <v>43344</v>
      </c>
      <c r="F628" s="9" t="n">
        <f aca="false">IFERROR(__xludf.dummyfunction("""COMPUTED_VALUE"""),15000)</f>
        <v>15000</v>
      </c>
      <c r="G628" s="2" t="n">
        <f aca="false">IFERROR(__xludf.dummyfunction("""COMPUTED_VALUE"""),30)</f>
        <v>30</v>
      </c>
      <c r="H628" s="2" t="n">
        <f aca="false">IFERROR(__xludf.dummyfunction("""COMPUTED_VALUE"""),30)</f>
        <v>30</v>
      </c>
      <c r="I628" s="9" t="n">
        <f aca="false">IFERROR(__xludf.dummyfunction("""COMPUTED_VALUE"""),180000)</f>
        <v>180000</v>
      </c>
      <c r="J628" s="9" t="n">
        <f aca="false">IFERROR(__xludf.dummyfunction("""COMPUTED_VALUE"""),0)</f>
        <v>0</v>
      </c>
      <c r="K628" s="9"/>
      <c r="L628" s="9" t="n">
        <f aca="false">IFERROR(__xludf.dummyfunction("""COMPUTED_VALUE"""),0)</f>
        <v>0</v>
      </c>
      <c r="M628" s="9"/>
    </row>
    <row r="629" customFormat="false" ht="15.75" hidden="false" customHeight="false" outlineLevel="0" collapsed="false">
      <c r="A629" s="2" t="str">
        <f aca="false">IFERROR(__xludf.dummyfunction("""COMPUTED_VALUE"""),"SRC/KAN/0819")</f>
        <v>SRC/KAN/0819</v>
      </c>
      <c r="B629" s="2" t="str">
        <f aca="false">IFERROR(__xludf.dummyfunction("""COMPUTED_VALUE"""),"RAM SWAROOP")</f>
        <v>RAM SWAROOP</v>
      </c>
      <c r="C629" s="2" t="str">
        <f aca="false">IFERROR(__xludf.dummyfunction("""COMPUTED_VALUE"""),"RESTAURANT")</f>
        <v>RESTAURANT</v>
      </c>
      <c r="D629" s="2" t="str">
        <f aca="false">IFERROR(__xludf.dummyfunction("""COMPUTED_VALUE"""),"Kanha")</f>
        <v>Kanha</v>
      </c>
      <c r="E629" s="16" t="n">
        <f aca="false">IFERROR(__xludf.dummyfunction("""COMPUTED_VALUE"""),43344)</f>
        <v>43344</v>
      </c>
      <c r="F629" s="9" t="n">
        <f aca="false">IFERROR(__xludf.dummyfunction("""COMPUTED_VALUE"""),25000)</f>
        <v>25000</v>
      </c>
      <c r="G629" s="2" t="n">
        <f aca="false">IFERROR(__xludf.dummyfunction("""COMPUTED_VALUE"""),30)</f>
        <v>30</v>
      </c>
      <c r="H629" s="2" t="n">
        <f aca="false">IFERROR(__xludf.dummyfunction("""COMPUTED_VALUE"""),30)</f>
        <v>30</v>
      </c>
      <c r="I629" s="9" t="n">
        <f aca="false">IFERROR(__xludf.dummyfunction("""COMPUTED_VALUE"""),300000)</f>
        <v>300000</v>
      </c>
      <c r="J629" s="9" t="n">
        <f aca="false">IFERROR(__xludf.dummyfunction("""COMPUTED_VALUE"""),406)</f>
        <v>406</v>
      </c>
      <c r="K629" s="9"/>
      <c r="L629" s="9" t="n">
        <f aca="false">IFERROR(__xludf.dummyfunction("""COMPUTED_VALUE"""),0)</f>
        <v>0</v>
      </c>
      <c r="M629" s="9"/>
    </row>
    <row r="630" customFormat="false" ht="15.75" hidden="false" customHeight="false" outlineLevel="0" collapsed="false">
      <c r="A630" s="2" t="str">
        <f aca="false">IFERROR(__xludf.dummyfunction("""COMPUTED_VALUE"""),"SRC/KAN/0952")</f>
        <v>SRC/KAN/0952</v>
      </c>
      <c r="B630" s="2" t="str">
        <f aca="false">IFERROR(__xludf.dummyfunction("""COMPUTED_VALUE"""),"A.Prasad")</f>
        <v>A.Prasad</v>
      </c>
      <c r="C630" s="2" t="str">
        <f aca="false">IFERROR(__xludf.dummyfunction("""COMPUTED_VALUE"""),"KITCHEN")</f>
        <v>KITCHEN</v>
      </c>
      <c r="D630" s="2" t="str">
        <f aca="false">IFERROR(__xludf.dummyfunction("""COMPUTED_VALUE"""),"Kanha")</f>
        <v>Kanha</v>
      </c>
      <c r="E630" s="16" t="n">
        <f aca="false">IFERROR(__xludf.dummyfunction("""COMPUTED_VALUE"""),43386)</f>
        <v>43386</v>
      </c>
      <c r="F630" s="9" t="n">
        <f aca="false">IFERROR(__xludf.dummyfunction("""COMPUTED_VALUE"""),17000)</f>
        <v>17000</v>
      </c>
      <c r="G630" s="2" t="n">
        <f aca="false">IFERROR(__xludf.dummyfunction("""COMPUTED_VALUE"""),30)</f>
        <v>30</v>
      </c>
      <c r="H630" s="2" t="n">
        <f aca="false">IFERROR(__xludf.dummyfunction("""COMPUTED_VALUE"""),30)</f>
        <v>30</v>
      </c>
      <c r="I630" s="9" t="n">
        <f aca="false">IFERROR(__xludf.dummyfunction("""COMPUTED_VALUE"""),204000)</f>
        <v>204000</v>
      </c>
      <c r="J630" s="9" t="n">
        <f aca="false">IFERROR(__xludf.dummyfunction("""COMPUTED_VALUE"""),101)</f>
        <v>101</v>
      </c>
      <c r="K630" s="9"/>
      <c r="L630" s="9" t="n">
        <f aca="false">IFERROR(__xludf.dummyfunction("""COMPUTED_VALUE"""),0)</f>
        <v>0</v>
      </c>
      <c r="M630" s="9"/>
    </row>
    <row r="631" customFormat="false" ht="15.75" hidden="false" customHeight="false" outlineLevel="0" collapsed="false">
      <c r="A631" s="2" t="str">
        <f aca="false">IFERROR(__xludf.dummyfunction("""COMPUTED_VALUE"""),"SRC/KAN/0961")</f>
        <v>SRC/KAN/0961</v>
      </c>
      <c r="B631" s="2" t="str">
        <f aca="false">IFERROR(__xludf.dummyfunction("""COMPUTED_VALUE"""),"Mukesh Kumar PaL")</f>
        <v>Mukesh Kumar PaL</v>
      </c>
      <c r="C631" s="2" t="str">
        <f aca="false">IFERROR(__xludf.dummyfunction("""COMPUTED_VALUE"""),"RESTAURANT")</f>
        <v>RESTAURANT</v>
      </c>
      <c r="D631" s="2" t="str">
        <f aca="false">IFERROR(__xludf.dummyfunction("""COMPUTED_VALUE"""),"Kanha")</f>
        <v>Kanha</v>
      </c>
      <c r="E631" s="16" t="n">
        <f aca="false">IFERROR(__xludf.dummyfunction("""COMPUTED_VALUE"""),43405)</f>
        <v>43405</v>
      </c>
      <c r="F631" s="9" t="n">
        <f aca="false">IFERROR(__xludf.dummyfunction("""COMPUTED_VALUE"""),9000)</f>
        <v>9000</v>
      </c>
      <c r="G631" s="2" t="n">
        <f aca="false">IFERROR(__xludf.dummyfunction("""COMPUTED_VALUE"""),30)</f>
        <v>30</v>
      </c>
      <c r="H631" s="2" t="n">
        <f aca="false">IFERROR(__xludf.dummyfunction("""COMPUTED_VALUE"""),30)</f>
        <v>30</v>
      </c>
      <c r="I631" s="9" t="n">
        <f aca="false">IFERROR(__xludf.dummyfunction("""COMPUTED_VALUE"""),108000)</f>
        <v>108000</v>
      </c>
      <c r="J631" s="9" t="n">
        <f aca="false">IFERROR(__xludf.dummyfunction("""COMPUTED_VALUE"""),84)</f>
        <v>84</v>
      </c>
      <c r="K631" s="9"/>
      <c r="L631" s="9" t="n">
        <f aca="false">IFERROR(__xludf.dummyfunction("""COMPUTED_VALUE"""),0)</f>
        <v>0</v>
      </c>
      <c r="M631" s="9"/>
    </row>
    <row r="632" customFormat="false" ht="15.75" hidden="false" customHeight="false" outlineLevel="0" collapsed="false">
      <c r="A632" s="2" t="str">
        <f aca="false">IFERROR(__xludf.dummyfunction("""COMPUTED_VALUE"""),"SRC/KAN/0903")</f>
        <v>SRC/KAN/0903</v>
      </c>
      <c r="B632" s="2" t="str">
        <f aca="false">IFERROR(__xludf.dummyfunction("""COMPUTED_VALUE"""),"K.PANDURANGARAO")</f>
        <v>K.PANDURANGARAO</v>
      </c>
      <c r="C632" s="2" t="str">
        <f aca="false">IFERROR(__xludf.dummyfunction("""COMPUTED_VALUE"""),"RESTAURANT")</f>
        <v>RESTAURANT</v>
      </c>
      <c r="D632" s="2" t="str">
        <f aca="false">IFERROR(__xludf.dummyfunction("""COMPUTED_VALUE"""),"Kanha")</f>
        <v>Kanha</v>
      </c>
      <c r="E632" s="16" t="n">
        <f aca="false">IFERROR(__xludf.dummyfunction("""COMPUTED_VALUE"""),43430)</f>
        <v>43430</v>
      </c>
      <c r="F632" s="9" t="n">
        <f aca="false">IFERROR(__xludf.dummyfunction("""COMPUTED_VALUE"""),8000)</f>
        <v>8000</v>
      </c>
      <c r="G632" s="2" t="n">
        <f aca="false">IFERROR(__xludf.dummyfunction("""COMPUTED_VALUE"""),30)</f>
        <v>30</v>
      </c>
      <c r="H632" s="2" t="n">
        <f aca="false">IFERROR(__xludf.dummyfunction("""COMPUTED_VALUE"""),30)</f>
        <v>30</v>
      </c>
      <c r="I632" s="9" t="n">
        <f aca="false">IFERROR(__xludf.dummyfunction("""COMPUTED_VALUE"""),96000)</f>
        <v>96000</v>
      </c>
      <c r="J632" s="9" t="n">
        <f aca="false">IFERROR(__xludf.dummyfunction("""COMPUTED_VALUE"""),252)</f>
        <v>252</v>
      </c>
      <c r="K632" s="9"/>
      <c r="L632" s="9" t="n">
        <f aca="false">IFERROR(__xludf.dummyfunction("""COMPUTED_VALUE"""),0)</f>
        <v>0</v>
      </c>
      <c r="M632" s="9"/>
    </row>
    <row r="633" customFormat="false" ht="15.75" hidden="false" customHeight="false" outlineLevel="0" collapsed="false">
      <c r="A633" s="2" t="str">
        <f aca="false">IFERROR(__xludf.dummyfunction("""COMPUTED_VALUE"""),"SRC/KAN/0994")</f>
        <v>SRC/KAN/0994</v>
      </c>
      <c r="B633" s="2" t="str">
        <f aca="false">IFERROR(__xludf.dummyfunction("""COMPUTED_VALUE"""),"RAKESH PRASAD")</f>
        <v>RAKESH PRASAD</v>
      </c>
      <c r="C633" s="2" t="str">
        <f aca="false">IFERROR(__xludf.dummyfunction("""COMPUTED_VALUE"""),"KITCHEN")</f>
        <v>KITCHEN</v>
      </c>
      <c r="D633" s="2" t="str">
        <f aca="false">IFERROR(__xludf.dummyfunction("""COMPUTED_VALUE"""),"Kanha")</f>
        <v>Kanha</v>
      </c>
      <c r="E633" s="16" t="n">
        <f aca="false">IFERROR(__xludf.dummyfunction("""COMPUTED_VALUE"""),43471)</f>
        <v>43471</v>
      </c>
      <c r="F633" s="9" t="n">
        <f aca="false">IFERROR(__xludf.dummyfunction("""COMPUTED_VALUE"""),16000)</f>
        <v>16000</v>
      </c>
      <c r="G633" s="2" t="n">
        <f aca="false">IFERROR(__xludf.dummyfunction("""COMPUTED_VALUE"""),30)</f>
        <v>30</v>
      </c>
      <c r="H633" s="2" t="n">
        <f aca="false">IFERROR(__xludf.dummyfunction("""COMPUTED_VALUE"""),30)</f>
        <v>30</v>
      </c>
      <c r="I633" s="9" t="n">
        <f aca="false">IFERROR(__xludf.dummyfunction("""COMPUTED_VALUE"""),192000)</f>
        <v>192000</v>
      </c>
      <c r="J633" s="9" t="n">
        <f aca="false">IFERROR(__xludf.dummyfunction("""COMPUTED_VALUE"""),140)</f>
        <v>140</v>
      </c>
      <c r="K633" s="9"/>
      <c r="L633" s="9" t="n">
        <f aca="false">IFERROR(__xludf.dummyfunction("""COMPUTED_VALUE"""),0)</f>
        <v>0</v>
      </c>
      <c r="M633" s="9"/>
    </row>
    <row r="634" customFormat="false" ht="15.75" hidden="false" customHeight="false" outlineLevel="0" collapsed="false">
      <c r="A634" s="2" t="str">
        <f aca="false">IFERROR(__xludf.dummyfunction("""COMPUTED_VALUE"""),"SRC/KAN/0990")</f>
        <v>SRC/KAN/0990</v>
      </c>
      <c r="B634" s="2" t="str">
        <f aca="false">IFERROR(__xludf.dummyfunction("""COMPUTED_VALUE"""),"A PRASAD REDDY")</f>
        <v>A PRASAD REDDY</v>
      </c>
      <c r="C634" s="2" t="str">
        <f aca="false">IFERROR(__xludf.dummyfunction("""COMPUTED_VALUE"""),"KITCHEN")</f>
        <v>KITCHEN</v>
      </c>
      <c r="D634" s="2" t="str">
        <f aca="false">IFERROR(__xludf.dummyfunction("""COMPUTED_VALUE"""),"Kanha")</f>
        <v>Kanha</v>
      </c>
      <c r="E634" s="16" t="n">
        <f aca="false">IFERROR(__xludf.dummyfunction("""COMPUTED_VALUE"""),43471)</f>
        <v>43471</v>
      </c>
      <c r="F634" s="9" t="n">
        <f aca="false">IFERROR(__xludf.dummyfunction("""COMPUTED_VALUE"""),24000)</f>
        <v>24000</v>
      </c>
      <c r="G634" s="2" t="n">
        <f aca="false">IFERROR(__xludf.dummyfunction("""COMPUTED_VALUE"""),30)</f>
        <v>30</v>
      </c>
      <c r="H634" s="2" t="n">
        <f aca="false">IFERROR(__xludf.dummyfunction("""COMPUTED_VALUE"""),30)</f>
        <v>30</v>
      </c>
      <c r="I634" s="9" t="n">
        <f aca="false">IFERROR(__xludf.dummyfunction("""COMPUTED_VALUE"""),288000)</f>
        <v>288000</v>
      </c>
      <c r="J634" s="9" t="n">
        <f aca="false">IFERROR(__xludf.dummyfunction("""COMPUTED_VALUE"""),56)</f>
        <v>56</v>
      </c>
      <c r="K634" s="9"/>
      <c r="L634" s="9" t="n">
        <f aca="false">IFERROR(__xludf.dummyfunction("""COMPUTED_VALUE"""),0)</f>
        <v>0</v>
      </c>
      <c r="M634" s="9"/>
    </row>
    <row r="635" customFormat="false" ht="15.75" hidden="false" customHeight="false" outlineLevel="0" collapsed="false">
      <c r="A635" s="2" t="str">
        <f aca="false">IFERROR(__xludf.dummyfunction("""COMPUTED_VALUE"""),"SRC/KAN/1069")</f>
        <v>SRC/KAN/1069</v>
      </c>
      <c r="B635" s="2" t="str">
        <f aca="false">IFERROR(__xludf.dummyfunction("""COMPUTED_VALUE"""),"Pabey Yadaiah")</f>
        <v>Pabey Yadaiah</v>
      </c>
      <c r="C635" s="2" t="str">
        <f aca="false">IFERROR(__xludf.dummyfunction("""COMPUTED_VALUE"""),"KITCHEN")</f>
        <v>KITCHEN</v>
      </c>
      <c r="D635" s="2" t="str">
        <f aca="false">IFERROR(__xludf.dummyfunction("""COMPUTED_VALUE"""),"Kanha")</f>
        <v>Kanha</v>
      </c>
      <c r="E635" s="16" t="n">
        <f aca="false">IFERROR(__xludf.dummyfunction("""COMPUTED_VALUE"""),43550)</f>
        <v>43550</v>
      </c>
      <c r="F635" s="9" t="n">
        <f aca="false">IFERROR(__xludf.dummyfunction("""COMPUTED_VALUE"""),10000)</f>
        <v>10000</v>
      </c>
      <c r="G635" s="2" t="n">
        <f aca="false">IFERROR(__xludf.dummyfunction("""COMPUTED_VALUE"""),30)</f>
        <v>30</v>
      </c>
      <c r="H635" s="2" t="n">
        <f aca="false">IFERROR(__xludf.dummyfunction("""COMPUTED_VALUE"""),30)</f>
        <v>30</v>
      </c>
      <c r="I635" s="9" t="n">
        <f aca="false">IFERROR(__xludf.dummyfunction("""COMPUTED_VALUE"""),120000)</f>
        <v>120000</v>
      </c>
      <c r="J635" s="9" t="n">
        <f aca="false">IFERROR(__xludf.dummyfunction("""COMPUTED_VALUE"""),484)</f>
        <v>484</v>
      </c>
      <c r="K635" s="9"/>
      <c r="L635" s="9" t="n">
        <f aca="false">IFERROR(__xludf.dummyfunction("""COMPUTED_VALUE"""),0)</f>
        <v>0</v>
      </c>
      <c r="M635" s="9"/>
    </row>
    <row r="636" customFormat="false" ht="15.75" hidden="false" customHeight="false" outlineLevel="0" collapsed="false">
      <c r="A636" s="2" t="str">
        <f aca="false">IFERROR(__xludf.dummyfunction("""COMPUTED_VALUE"""),"SRC/KAN/1450")</f>
        <v>SRC/KAN/1450</v>
      </c>
      <c r="B636" s="2" t="str">
        <f aca="false">IFERROR(__xludf.dummyfunction("""COMPUTED_VALUE"""),"V.Lakshmi Parvathi")</f>
        <v>V.Lakshmi Parvathi</v>
      </c>
      <c r="C636" s="2" t="str">
        <f aca="false">IFERROR(__xludf.dummyfunction("""COMPUTED_VALUE"""),"KITCHEN")</f>
        <v>KITCHEN</v>
      </c>
      <c r="D636" s="2" t="str">
        <f aca="false">IFERROR(__xludf.dummyfunction("""COMPUTED_VALUE"""),"Kanha")</f>
        <v>Kanha</v>
      </c>
      <c r="E636" s="16" t="n">
        <f aca="false">IFERROR(__xludf.dummyfunction("""COMPUTED_VALUE"""),43581)</f>
        <v>43581</v>
      </c>
      <c r="F636" s="9" t="n">
        <f aca="false">IFERROR(__xludf.dummyfunction("""COMPUTED_VALUE"""),9000)</f>
        <v>9000</v>
      </c>
      <c r="G636" s="2" t="n">
        <f aca="false">IFERROR(__xludf.dummyfunction("""COMPUTED_VALUE"""),30)</f>
        <v>30</v>
      </c>
      <c r="H636" s="2" t="n">
        <f aca="false">IFERROR(__xludf.dummyfunction("""COMPUTED_VALUE"""),30)</f>
        <v>30</v>
      </c>
      <c r="I636" s="9" t="n">
        <f aca="false">IFERROR(__xludf.dummyfunction("""COMPUTED_VALUE"""),108000)</f>
        <v>108000</v>
      </c>
      <c r="J636" s="9" t="n">
        <f aca="false">IFERROR(__xludf.dummyfunction("""COMPUTED_VALUE"""),0)</f>
        <v>0</v>
      </c>
      <c r="K636" s="9"/>
      <c r="L636" s="9" t="n">
        <f aca="false">IFERROR(__xludf.dummyfunction("""COMPUTED_VALUE"""),0)</f>
        <v>0</v>
      </c>
      <c r="M636" s="9"/>
    </row>
    <row r="637" customFormat="false" ht="15.75" hidden="false" customHeight="false" outlineLevel="0" collapsed="false">
      <c r="A637" s="2" t="str">
        <f aca="false">IFERROR(__xludf.dummyfunction("""COMPUTED_VALUE"""),"SRC/KAN/1451")</f>
        <v>SRC/KAN/1451</v>
      </c>
      <c r="B637" s="2" t="str">
        <f aca="false">IFERROR(__xludf.dummyfunction("""COMPUTED_VALUE"""),"G ESWARA RAO")</f>
        <v>G ESWARA RAO</v>
      </c>
      <c r="C637" s="2" t="str">
        <f aca="false">IFERROR(__xludf.dummyfunction("""COMPUTED_VALUE"""),"KITCHEN")</f>
        <v>KITCHEN</v>
      </c>
      <c r="D637" s="2" t="str">
        <f aca="false">IFERROR(__xludf.dummyfunction("""COMPUTED_VALUE"""),"Kanha")</f>
        <v>Kanha</v>
      </c>
      <c r="E637" s="16" t="n">
        <f aca="false">IFERROR(__xludf.dummyfunction("""COMPUTED_VALUE"""),43581)</f>
        <v>43581</v>
      </c>
      <c r="F637" s="9" t="n">
        <f aca="false">IFERROR(__xludf.dummyfunction("""COMPUTED_VALUE"""),16000)</f>
        <v>16000</v>
      </c>
      <c r="G637" s="2" t="n">
        <f aca="false">IFERROR(__xludf.dummyfunction("""COMPUTED_VALUE"""),30)</f>
        <v>30</v>
      </c>
      <c r="H637" s="2" t="n">
        <f aca="false">IFERROR(__xludf.dummyfunction("""COMPUTED_VALUE"""),30)</f>
        <v>30</v>
      </c>
      <c r="I637" s="9" t="n">
        <f aca="false">IFERROR(__xludf.dummyfunction("""COMPUTED_VALUE"""),192000)</f>
        <v>192000</v>
      </c>
      <c r="J637" s="9" t="n">
        <f aca="false">IFERROR(__xludf.dummyfunction("""COMPUTED_VALUE"""),360)</f>
        <v>360</v>
      </c>
      <c r="K637" s="9"/>
      <c r="L637" s="9" t="n">
        <f aca="false">IFERROR(__xludf.dummyfunction("""COMPUTED_VALUE"""),0)</f>
        <v>0</v>
      </c>
      <c r="M637" s="9"/>
    </row>
    <row r="638" customFormat="false" ht="15.75" hidden="false" customHeight="false" outlineLevel="0" collapsed="false">
      <c r="A638" s="2" t="str">
        <f aca="false">IFERROR(__xludf.dummyfunction("""COMPUTED_VALUE"""),"SRC/KAN/1164")</f>
        <v>SRC/KAN/1164</v>
      </c>
      <c r="B638" s="2" t="str">
        <f aca="false">IFERROR(__xludf.dummyfunction("""COMPUTED_VALUE"""),"Satish Chand")</f>
        <v>Satish Chand</v>
      </c>
      <c r="C638" s="2" t="str">
        <f aca="false">IFERROR(__xludf.dummyfunction("""COMPUTED_VALUE"""),"RESTAURANT")</f>
        <v>RESTAURANT</v>
      </c>
      <c r="D638" s="2" t="str">
        <f aca="false">IFERROR(__xludf.dummyfunction("""COMPUTED_VALUE"""),"Kanha")</f>
        <v>Kanha</v>
      </c>
      <c r="E638" s="16" t="n">
        <f aca="false">IFERROR(__xludf.dummyfunction("""COMPUTED_VALUE"""),43622)</f>
        <v>43622</v>
      </c>
      <c r="F638" s="9" t="n">
        <f aca="false">IFERROR(__xludf.dummyfunction("""COMPUTED_VALUE"""),16000)</f>
        <v>16000</v>
      </c>
      <c r="G638" s="2" t="n">
        <f aca="false">IFERROR(__xludf.dummyfunction("""COMPUTED_VALUE"""),30)</f>
        <v>30</v>
      </c>
      <c r="H638" s="2" t="n">
        <f aca="false">IFERROR(__xludf.dummyfunction("""COMPUTED_VALUE"""),30)</f>
        <v>30</v>
      </c>
      <c r="I638" s="9" t="n">
        <f aca="false">IFERROR(__xludf.dummyfunction("""COMPUTED_VALUE"""),192000)</f>
        <v>192000</v>
      </c>
      <c r="J638" s="9" t="n">
        <f aca="false">IFERROR(__xludf.dummyfunction("""COMPUTED_VALUE"""),56)</f>
        <v>56</v>
      </c>
      <c r="K638" s="9"/>
      <c r="L638" s="9" t="n">
        <f aca="false">IFERROR(__xludf.dummyfunction("""COMPUTED_VALUE"""),0)</f>
        <v>0</v>
      </c>
      <c r="M638" s="9"/>
    </row>
    <row r="639" customFormat="false" ht="15.75" hidden="false" customHeight="false" outlineLevel="0" collapsed="false">
      <c r="A639" s="2" t="str">
        <f aca="false">IFERROR(__xludf.dummyfunction("""COMPUTED_VALUE"""),"SRC/KAN/1121")</f>
        <v>SRC/KAN/1121</v>
      </c>
      <c r="B639" s="2" t="str">
        <f aca="false">IFERROR(__xludf.dummyfunction("""COMPUTED_VALUE"""),"Siddheshvar Verma ")</f>
        <v>Siddheshvar Verma </v>
      </c>
      <c r="C639" s="2" t="str">
        <f aca="false">IFERROR(__xludf.dummyfunction("""COMPUTED_VALUE"""),"RESTAURANT")</f>
        <v>RESTAURANT</v>
      </c>
      <c r="D639" s="2" t="str">
        <f aca="false">IFERROR(__xludf.dummyfunction("""COMPUTED_VALUE"""),"Kanha")</f>
        <v>Kanha</v>
      </c>
      <c r="E639" s="16" t="n">
        <f aca="false">IFERROR(__xludf.dummyfunction("""COMPUTED_VALUE"""),43734)</f>
        <v>43734</v>
      </c>
      <c r="F639" s="9" t="n">
        <f aca="false">IFERROR(__xludf.dummyfunction("""COMPUTED_VALUE"""),18000)</f>
        <v>18000</v>
      </c>
      <c r="G639" s="2" t="n">
        <f aca="false">IFERROR(__xludf.dummyfunction("""COMPUTED_VALUE"""),30)</f>
        <v>30</v>
      </c>
      <c r="H639" s="2" t="n">
        <f aca="false">IFERROR(__xludf.dummyfunction("""COMPUTED_VALUE"""),30)</f>
        <v>30</v>
      </c>
      <c r="I639" s="9" t="n">
        <f aca="false">IFERROR(__xludf.dummyfunction("""COMPUTED_VALUE"""),216000)</f>
        <v>216000</v>
      </c>
      <c r="J639" s="9" t="n">
        <f aca="false">IFERROR(__xludf.dummyfunction("""COMPUTED_VALUE"""),56)</f>
        <v>56</v>
      </c>
      <c r="K639" s="9"/>
      <c r="L639" s="9" t="n">
        <f aca="false">IFERROR(__xludf.dummyfunction("""COMPUTED_VALUE"""),0)</f>
        <v>0</v>
      </c>
      <c r="M639" s="9"/>
    </row>
    <row r="640" customFormat="false" ht="15.75" hidden="false" customHeight="false" outlineLevel="0" collapsed="false">
      <c r="A640" s="2" t="str">
        <f aca="false">IFERROR(__xludf.dummyfunction("""COMPUTED_VALUE"""),"SRC/KAN/1326")</f>
        <v>SRC/KAN/1326</v>
      </c>
      <c r="B640" s="2" t="str">
        <f aca="false">IFERROR(__xludf.dummyfunction("""COMPUTED_VALUE"""),"Mukesh Kumar")</f>
        <v>Mukesh Kumar</v>
      </c>
      <c r="C640" s="2" t="str">
        <f aca="false">IFERROR(__xludf.dummyfunction("""COMPUTED_VALUE"""),"RESTAURANT")</f>
        <v>RESTAURANT</v>
      </c>
      <c r="D640" s="2" t="str">
        <f aca="false">IFERROR(__xludf.dummyfunction("""COMPUTED_VALUE"""),"Kanha")</f>
        <v>Kanha</v>
      </c>
      <c r="E640" s="16" t="n">
        <f aca="false">IFERROR(__xludf.dummyfunction("""COMPUTED_VALUE"""),43734)</f>
        <v>43734</v>
      </c>
      <c r="F640" s="9" t="n">
        <f aca="false">IFERROR(__xludf.dummyfunction("""COMPUTED_VALUE"""),12000)</f>
        <v>12000</v>
      </c>
      <c r="G640" s="2" t="n">
        <f aca="false">IFERROR(__xludf.dummyfunction("""COMPUTED_VALUE"""),30)</f>
        <v>30</v>
      </c>
      <c r="H640" s="2" t="n">
        <f aca="false">IFERROR(__xludf.dummyfunction("""COMPUTED_VALUE"""),30)</f>
        <v>30</v>
      </c>
      <c r="I640" s="9" t="n">
        <f aca="false">IFERROR(__xludf.dummyfunction("""COMPUTED_VALUE"""),144000)</f>
        <v>144000</v>
      </c>
      <c r="J640" s="9" t="n">
        <f aca="false">IFERROR(__xludf.dummyfunction("""COMPUTED_VALUE"""),56)</f>
        <v>56</v>
      </c>
      <c r="K640" s="9"/>
      <c r="L640" s="9" t="n">
        <f aca="false">IFERROR(__xludf.dummyfunction("""COMPUTED_VALUE"""),0)</f>
        <v>0</v>
      </c>
      <c r="M640" s="9"/>
    </row>
    <row r="641" customFormat="false" ht="15.75" hidden="false" customHeight="false" outlineLevel="0" collapsed="false">
      <c r="A641" s="2" t="str">
        <f aca="false">IFERROR(__xludf.dummyfunction("""COMPUTED_VALUE"""),"SRC/KAN/1327")</f>
        <v>SRC/KAN/1327</v>
      </c>
      <c r="B641" s="2" t="str">
        <f aca="false">IFERROR(__xludf.dummyfunction("""COMPUTED_VALUE"""),"Raj Kumar Mishra")</f>
        <v>Raj Kumar Mishra</v>
      </c>
      <c r="C641" s="2" t="str">
        <f aca="false">IFERROR(__xludf.dummyfunction("""COMPUTED_VALUE"""),"RESTAURANT")</f>
        <v>RESTAURANT</v>
      </c>
      <c r="D641" s="2" t="str">
        <f aca="false">IFERROR(__xludf.dummyfunction("""COMPUTED_VALUE"""),"Kanha")</f>
        <v>Kanha</v>
      </c>
      <c r="E641" s="16" t="n">
        <f aca="false">IFERROR(__xludf.dummyfunction("""COMPUTED_VALUE"""),43734)</f>
        <v>43734</v>
      </c>
      <c r="F641" s="9" t="n">
        <f aca="false">IFERROR(__xludf.dummyfunction("""COMPUTED_VALUE"""),40000)</f>
        <v>40000</v>
      </c>
      <c r="G641" s="2" t="n">
        <f aca="false">IFERROR(__xludf.dummyfunction("""COMPUTED_VALUE"""),30)</f>
        <v>30</v>
      </c>
      <c r="H641" s="2" t="n">
        <f aca="false">IFERROR(__xludf.dummyfunction("""COMPUTED_VALUE"""),30)</f>
        <v>30</v>
      </c>
      <c r="I641" s="9" t="n">
        <f aca="false">IFERROR(__xludf.dummyfunction("""COMPUTED_VALUE"""),480000)</f>
        <v>480000</v>
      </c>
      <c r="J641" s="9" t="n">
        <f aca="false">IFERROR(__xludf.dummyfunction("""COMPUTED_VALUE"""),360)</f>
        <v>360</v>
      </c>
      <c r="K641" s="9"/>
      <c r="L641" s="9" t="n">
        <f aca="false">IFERROR(__xludf.dummyfunction("""COMPUTED_VALUE"""),0)</f>
        <v>0</v>
      </c>
      <c r="M641" s="9"/>
    </row>
    <row r="642" customFormat="false" ht="15.75" hidden="false" customHeight="false" outlineLevel="0" collapsed="false">
      <c r="A642" s="2" t="str">
        <f aca="false">IFERROR(__xludf.dummyfunction("""COMPUTED_VALUE"""),"SRC/KAN/0812")</f>
        <v>SRC/KAN/0812</v>
      </c>
      <c r="B642" s="2" t="str">
        <f aca="false">IFERROR(__xludf.dummyfunction("""COMPUTED_VALUE"""),"Indu Naval Sinb Jalan ")</f>
        <v>Indu Naval Sinb Jalan </v>
      </c>
      <c r="C642" s="2" t="str">
        <f aca="false">IFERROR(__xludf.dummyfunction("""COMPUTED_VALUE"""),"KITCHEN")</f>
        <v>KITCHEN</v>
      </c>
      <c r="D642" s="2" t="str">
        <f aca="false">IFERROR(__xludf.dummyfunction("""COMPUTED_VALUE"""),"Kanha")</f>
        <v>Kanha</v>
      </c>
      <c r="E642" s="16" t="n">
        <f aca="false">IFERROR(__xludf.dummyfunction("""COMPUTED_VALUE"""),43749)</f>
        <v>43749</v>
      </c>
      <c r="F642" s="9" t="n">
        <f aca="false">IFERROR(__xludf.dummyfunction("""COMPUTED_VALUE"""),12000)</f>
        <v>12000</v>
      </c>
      <c r="G642" s="2" t="n">
        <f aca="false">IFERROR(__xludf.dummyfunction("""COMPUTED_VALUE"""),30)</f>
        <v>30</v>
      </c>
      <c r="H642" s="2" t="n">
        <f aca="false">IFERROR(__xludf.dummyfunction("""COMPUTED_VALUE"""),30)</f>
        <v>30</v>
      </c>
      <c r="I642" s="9" t="n">
        <f aca="false">IFERROR(__xludf.dummyfunction("""COMPUTED_VALUE"""),144000)</f>
        <v>144000</v>
      </c>
      <c r="J642" s="9" t="n">
        <f aca="false">IFERROR(__xludf.dummyfunction("""COMPUTED_VALUE"""),447)</f>
        <v>447</v>
      </c>
      <c r="K642" s="9"/>
      <c r="L642" s="9" t="n">
        <f aca="false">IFERROR(__xludf.dummyfunction("""COMPUTED_VALUE"""),0)</f>
        <v>0</v>
      </c>
      <c r="M642" s="9"/>
    </row>
    <row r="643" customFormat="false" ht="15.75" hidden="false" customHeight="false" outlineLevel="0" collapsed="false">
      <c r="A643" s="2" t="str">
        <f aca="false">IFERROR(__xludf.dummyfunction("""COMPUTED_VALUE"""),"SRC/KAN/1163")</f>
        <v>SRC/KAN/1163</v>
      </c>
      <c r="B643" s="2" t="str">
        <f aca="false">IFERROR(__xludf.dummyfunction("""COMPUTED_VALUE"""),"Kunwar Singh")</f>
        <v>Kunwar Singh</v>
      </c>
      <c r="C643" s="2" t="str">
        <f aca="false">IFERROR(__xludf.dummyfunction("""COMPUTED_VALUE"""),"RESTAURANT")</f>
        <v>RESTAURANT</v>
      </c>
      <c r="D643" s="2" t="str">
        <f aca="false">IFERROR(__xludf.dummyfunction("""COMPUTED_VALUE"""),"Kanha")</f>
        <v>Kanha</v>
      </c>
      <c r="E643" s="16" t="n">
        <f aca="false">IFERROR(__xludf.dummyfunction("""COMPUTED_VALUE"""),43764)</f>
        <v>43764</v>
      </c>
      <c r="F643" s="9" t="n">
        <f aca="false">IFERROR(__xludf.dummyfunction("""COMPUTED_VALUE"""),18000)</f>
        <v>18000</v>
      </c>
      <c r="G643" s="2" t="n">
        <f aca="false">IFERROR(__xludf.dummyfunction("""COMPUTED_VALUE"""),30)</f>
        <v>30</v>
      </c>
      <c r="H643" s="2" t="n">
        <f aca="false">IFERROR(__xludf.dummyfunction("""COMPUTED_VALUE"""),30)</f>
        <v>30</v>
      </c>
      <c r="I643" s="9" t="n">
        <f aca="false">IFERROR(__xludf.dummyfunction("""COMPUTED_VALUE"""),216000)</f>
        <v>216000</v>
      </c>
      <c r="J643" s="9" t="n">
        <f aca="false">IFERROR(__xludf.dummyfunction("""COMPUTED_VALUE"""),362)</f>
        <v>362</v>
      </c>
      <c r="K643" s="9"/>
      <c r="L643" s="9" t="n">
        <f aca="false">IFERROR(__xludf.dummyfunction("""COMPUTED_VALUE"""),0)</f>
        <v>0</v>
      </c>
      <c r="M643" s="9"/>
    </row>
    <row r="644" customFormat="false" ht="15.75" hidden="false" customHeight="false" outlineLevel="0" collapsed="false">
      <c r="A644" s="2" t="str">
        <f aca="false">IFERROR(__xludf.dummyfunction("""COMPUTED_VALUE"""),"SRC/KAN/1294")</f>
        <v>SRC/KAN/1294</v>
      </c>
      <c r="B644" s="2" t="str">
        <f aca="false">IFERROR(__xludf.dummyfunction("""COMPUTED_VALUE"""),"N. Karthikeyan")</f>
        <v>N. Karthikeyan</v>
      </c>
      <c r="C644" s="2" t="str">
        <f aca="false">IFERROR(__xludf.dummyfunction("""COMPUTED_VALUE"""),"KITCHEN")</f>
        <v>KITCHEN</v>
      </c>
      <c r="D644" s="2" t="str">
        <f aca="false">IFERROR(__xludf.dummyfunction("""COMPUTED_VALUE"""),"Kanha")</f>
        <v>Kanha</v>
      </c>
      <c r="E644" s="16" t="n">
        <f aca="false">IFERROR(__xludf.dummyfunction("""COMPUTED_VALUE"""),43778)</f>
        <v>43778</v>
      </c>
      <c r="F644" s="9" t="n">
        <f aca="false">IFERROR(__xludf.dummyfunction("""COMPUTED_VALUE"""),16000)</f>
        <v>16000</v>
      </c>
      <c r="G644" s="2" t="n">
        <f aca="false">IFERROR(__xludf.dummyfunction("""COMPUTED_VALUE"""),30)</f>
        <v>30</v>
      </c>
      <c r="H644" s="2" t="n">
        <f aca="false">IFERROR(__xludf.dummyfunction("""COMPUTED_VALUE"""),30)</f>
        <v>30</v>
      </c>
      <c r="I644" s="9" t="n">
        <f aca="false">IFERROR(__xludf.dummyfunction("""COMPUTED_VALUE"""),192000)</f>
        <v>192000</v>
      </c>
      <c r="J644" s="9" t="n">
        <f aca="false">IFERROR(__xludf.dummyfunction("""COMPUTED_VALUE"""),101)</f>
        <v>101</v>
      </c>
      <c r="K644" s="9"/>
      <c r="L644" s="9" t="n">
        <f aca="false">IFERROR(__xludf.dummyfunction("""COMPUTED_VALUE"""),0)</f>
        <v>0</v>
      </c>
      <c r="M644" s="9"/>
    </row>
    <row r="645" customFormat="false" ht="15.75" hidden="false" customHeight="false" outlineLevel="0" collapsed="false">
      <c r="A645" s="2" t="str">
        <f aca="false">IFERROR(__xludf.dummyfunction("""COMPUTED_VALUE"""),"SRC/KAN/1296")</f>
        <v>SRC/KAN/1296</v>
      </c>
      <c r="B645" s="2" t="str">
        <f aca="false">IFERROR(__xludf.dummyfunction("""COMPUTED_VALUE"""),"N. Kannappan")</f>
        <v>N. Kannappan</v>
      </c>
      <c r="C645" s="2" t="str">
        <f aca="false">IFERROR(__xludf.dummyfunction("""COMPUTED_VALUE"""),"KITCHEN")</f>
        <v>KITCHEN</v>
      </c>
      <c r="D645" s="2" t="str">
        <f aca="false">IFERROR(__xludf.dummyfunction("""COMPUTED_VALUE"""),"Kanha")</f>
        <v>Kanha</v>
      </c>
      <c r="E645" s="16" t="n">
        <f aca="false">IFERROR(__xludf.dummyfunction("""COMPUTED_VALUE"""),43778)</f>
        <v>43778</v>
      </c>
      <c r="F645" s="9" t="n">
        <f aca="false">IFERROR(__xludf.dummyfunction("""COMPUTED_VALUE"""),16000)</f>
        <v>16000</v>
      </c>
      <c r="G645" s="2" t="n">
        <f aca="false">IFERROR(__xludf.dummyfunction("""COMPUTED_VALUE"""),30)</f>
        <v>30</v>
      </c>
      <c r="H645" s="2" t="n">
        <f aca="false">IFERROR(__xludf.dummyfunction("""COMPUTED_VALUE"""),30)</f>
        <v>30</v>
      </c>
      <c r="I645" s="9" t="n">
        <f aca="false">IFERROR(__xludf.dummyfunction("""COMPUTED_VALUE"""),192000)</f>
        <v>192000</v>
      </c>
      <c r="J645" s="9" t="n">
        <f aca="false">IFERROR(__xludf.dummyfunction("""COMPUTED_VALUE"""),101)</f>
        <v>101</v>
      </c>
      <c r="K645" s="9"/>
      <c r="L645" s="9" t="n">
        <f aca="false">IFERROR(__xludf.dummyfunction("""COMPUTED_VALUE"""),0)</f>
        <v>0</v>
      </c>
      <c r="M645" s="9"/>
    </row>
    <row r="646" customFormat="false" ht="15.75" hidden="false" customHeight="false" outlineLevel="0" collapsed="false">
      <c r="A646" s="2" t="str">
        <f aca="false">IFERROR(__xludf.dummyfunction("""COMPUTED_VALUE"""),"SRC/KAN/1325")</f>
        <v>SRC/KAN/1325</v>
      </c>
      <c r="B646" s="2" t="str">
        <f aca="false">IFERROR(__xludf.dummyfunction("""COMPUTED_VALUE"""),"Indal Chaupal")</f>
        <v>Indal Chaupal</v>
      </c>
      <c r="C646" s="2" t="str">
        <f aca="false">IFERROR(__xludf.dummyfunction("""COMPUTED_VALUE"""),"RESTAURANT")</f>
        <v>RESTAURANT</v>
      </c>
      <c r="D646" s="2" t="str">
        <f aca="false">IFERROR(__xludf.dummyfunction("""COMPUTED_VALUE"""),"Kanha")</f>
        <v>Kanha</v>
      </c>
      <c r="E646" s="16" t="n">
        <f aca="false">IFERROR(__xludf.dummyfunction("""COMPUTED_VALUE"""),43786)</f>
        <v>43786</v>
      </c>
      <c r="F646" s="9" t="n">
        <f aca="false">IFERROR(__xludf.dummyfunction("""COMPUTED_VALUE"""),15000)</f>
        <v>15000</v>
      </c>
      <c r="G646" s="2" t="n">
        <f aca="false">IFERROR(__xludf.dummyfunction("""COMPUTED_VALUE"""),30)</f>
        <v>30</v>
      </c>
      <c r="H646" s="2" t="n">
        <f aca="false">IFERROR(__xludf.dummyfunction("""COMPUTED_VALUE"""),30)</f>
        <v>30</v>
      </c>
      <c r="I646" s="9" t="n">
        <f aca="false">IFERROR(__xludf.dummyfunction("""COMPUTED_VALUE"""),180000)</f>
        <v>180000</v>
      </c>
      <c r="J646" s="9" t="n">
        <f aca="false">IFERROR(__xludf.dummyfunction("""COMPUTED_VALUE"""),56)</f>
        <v>56</v>
      </c>
      <c r="K646" s="9"/>
      <c r="L646" s="9" t="n">
        <f aca="false">IFERROR(__xludf.dummyfunction("""COMPUTED_VALUE"""),0)</f>
        <v>0</v>
      </c>
      <c r="M646" s="9"/>
    </row>
    <row r="647" customFormat="false" ht="15.75" hidden="false" customHeight="false" outlineLevel="0" collapsed="false">
      <c r="A647" s="2" t="str">
        <f aca="false">IFERROR(__xludf.dummyfunction("""COMPUTED_VALUE"""),"SHKJ/KAN/1456")</f>
        <v>SHKJ/KAN/1456</v>
      </c>
      <c r="B647" s="2" t="str">
        <f aca="false">IFERROR(__xludf.dummyfunction("""COMPUTED_VALUE"""),"Subramaniyan G")</f>
        <v>Subramaniyan G</v>
      </c>
      <c r="C647" s="2" t="str">
        <f aca="false">IFERROR(__xludf.dummyfunction("""COMPUTED_VALUE"""),"Accounts")</f>
        <v>Accounts</v>
      </c>
      <c r="D647" s="2" t="str">
        <f aca="false">IFERROR(__xludf.dummyfunction("""COMPUTED_VALUE"""),"Kanha")</f>
        <v>Kanha</v>
      </c>
      <c r="E647" s="16" t="n">
        <f aca="false">IFERROR(__xludf.dummyfunction("""COMPUTED_VALUE"""),43847)</f>
        <v>43847</v>
      </c>
      <c r="F647" s="9" t="n">
        <f aca="false">IFERROR(__xludf.dummyfunction("""COMPUTED_VALUE"""),12000)</f>
        <v>12000</v>
      </c>
      <c r="G647" s="2" t="n">
        <f aca="false">IFERROR(__xludf.dummyfunction("""COMPUTED_VALUE"""),30)</f>
        <v>30</v>
      </c>
      <c r="H647" s="2" t="n">
        <f aca="false">IFERROR(__xludf.dummyfunction("""COMPUTED_VALUE"""),30)</f>
        <v>30</v>
      </c>
      <c r="I647" s="9" t="n">
        <f aca="false">IFERROR(__xludf.dummyfunction("""COMPUTED_VALUE"""),144000)</f>
        <v>144000</v>
      </c>
      <c r="J647" s="9" t="n">
        <f aca="false">IFERROR(__xludf.dummyfunction("""COMPUTED_VALUE"""),63)</f>
        <v>63</v>
      </c>
      <c r="K647" s="9"/>
      <c r="L647" s="9" t="n">
        <f aca="false">IFERROR(__xludf.dummyfunction("""COMPUTED_VALUE"""),0)</f>
        <v>0</v>
      </c>
      <c r="M647" s="9"/>
    </row>
    <row r="648" customFormat="false" ht="15.75" hidden="false" customHeight="false" outlineLevel="0" collapsed="false">
      <c r="A648" s="2" t="str">
        <f aca="false">IFERROR(__xludf.dummyfunction("""COMPUTED_VALUE"""),"HET/KAN/1380")</f>
        <v>HET/KAN/1380</v>
      </c>
      <c r="B648" s="2" t="str">
        <f aca="false">IFERROR(__xludf.dummyfunction("""COMPUTED_VALUE"""),"Rajesh Kumar B")</f>
        <v>Rajesh Kumar B</v>
      </c>
      <c r="C648" s="2" t="str">
        <f aca="false">IFERROR(__xludf.dummyfunction("""COMPUTED_VALUE"""),"KITCHEN")</f>
        <v>KITCHEN</v>
      </c>
      <c r="D648" s="2" t="str">
        <f aca="false">IFERROR(__xludf.dummyfunction("""COMPUTED_VALUE"""),"Kanha")</f>
        <v>Kanha</v>
      </c>
      <c r="E648" s="16" t="n">
        <f aca="false">IFERROR(__xludf.dummyfunction("""COMPUTED_VALUE"""),43877)</f>
        <v>43877</v>
      </c>
      <c r="F648" s="9" t="n">
        <f aca="false">IFERROR(__xludf.dummyfunction("""COMPUTED_VALUE"""),35000)</f>
        <v>35000</v>
      </c>
      <c r="G648" s="2" t="n">
        <f aca="false">IFERROR(__xludf.dummyfunction("""COMPUTED_VALUE"""),30)</f>
        <v>30</v>
      </c>
      <c r="H648" s="2" t="n">
        <f aca="false">IFERROR(__xludf.dummyfunction("""COMPUTED_VALUE"""),30)</f>
        <v>30</v>
      </c>
      <c r="I648" s="9" t="n">
        <f aca="false">IFERROR(__xludf.dummyfunction("""COMPUTED_VALUE"""),420000)</f>
        <v>420000</v>
      </c>
      <c r="J648" s="9" t="n">
        <f aca="false">IFERROR(__xludf.dummyfunction("""COMPUTED_VALUE"""),84)</f>
        <v>84</v>
      </c>
      <c r="K648" s="9"/>
      <c r="L648" s="9" t="n">
        <f aca="false">IFERROR(__xludf.dummyfunction("""COMPUTED_VALUE"""),0)</f>
        <v>0</v>
      </c>
      <c r="M648" s="9"/>
    </row>
    <row r="649" customFormat="false" ht="15.75" hidden="false" customHeight="false" outlineLevel="0" collapsed="false">
      <c r="A649" s="2" t="str">
        <f aca="false">IFERROR(__xludf.dummyfunction("""COMPUTED_VALUE"""),"SHKJ/KAN/1019")</f>
        <v>SHKJ/KAN/1019</v>
      </c>
      <c r="B649" s="2" t="str">
        <f aca="false">IFERROR(__xludf.dummyfunction("""COMPUTED_VALUE"""),"Deva Priya")</f>
        <v>Deva Priya</v>
      </c>
      <c r="C649" s="2" t="str">
        <f aca="false">IFERROR(__xludf.dummyfunction("""COMPUTED_VALUE"""),"Accounts")</f>
        <v>Accounts</v>
      </c>
      <c r="D649" s="2" t="str">
        <f aca="false">IFERROR(__xludf.dummyfunction("""COMPUTED_VALUE"""),"Kanha")</f>
        <v>Kanha</v>
      </c>
      <c r="E649" s="16" t="n">
        <f aca="false">IFERROR(__xludf.dummyfunction("""COMPUTED_VALUE"""),43522)</f>
        <v>43522</v>
      </c>
      <c r="F649" s="9" t="n">
        <f aca="false">IFERROR(__xludf.dummyfunction("""COMPUTED_VALUE"""),8000)</f>
        <v>8000</v>
      </c>
      <c r="G649" s="2" t="n">
        <f aca="false">IFERROR(__xludf.dummyfunction("""COMPUTED_VALUE"""),30)</f>
        <v>30</v>
      </c>
      <c r="H649" s="2" t="n">
        <f aca="false">IFERROR(__xludf.dummyfunction("""COMPUTED_VALUE"""),30)</f>
        <v>30</v>
      </c>
      <c r="I649" s="9" t="n">
        <f aca="false">IFERROR(__xludf.dummyfunction("""COMPUTED_VALUE"""),96000)</f>
        <v>96000</v>
      </c>
      <c r="J649" s="9" t="n">
        <f aca="false">IFERROR(__xludf.dummyfunction("""COMPUTED_VALUE"""),63)</f>
        <v>63</v>
      </c>
      <c r="K649" s="9"/>
      <c r="L649" s="9" t="n">
        <f aca="false">IFERROR(__xludf.dummyfunction("""COMPUTED_VALUE"""),0)</f>
        <v>0</v>
      </c>
      <c r="M649" s="9"/>
    </row>
    <row r="650" customFormat="false" ht="15.75" hidden="false" customHeight="false" outlineLevel="0" collapsed="false">
      <c r="A650" s="2" t="str">
        <f aca="false">IFERROR(__xludf.dummyfunction("""COMPUTED_VALUE"""),"SHKJ/KAN/1185")</f>
        <v>SHKJ/KAN/1185</v>
      </c>
      <c r="B650" s="2" t="str">
        <f aca="false">IFERROR(__xludf.dummyfunction("""COMPUTED_VALUE"""),"V Priya")</f>
        <v>V Priya</v>
      </c>
      <c r="C650" s="2" t="str">
        <f aca="false">IFERROR(__xludf.dummyfunction("""COMPUTED_VALUE"""),"Accounts")</f>
        <v>Accounts</v>
      </c>
      <c r="D650" s="2" t="str">
        <f aca="false">IFERROR(__xludf.dummyfunction("""COMPUTED_VALUE"""),"Kanha")</f>
        <v>Kanha</v>
      </c>
      <c r="E650" s="16" t="n">
        <f aca="false">IFERROR(__xludf.dummyfunction("""COMPUTED_VALUE"""),43672)</f>
        <v>43672</v>
      </c>
      <c r="F650" s="9" t="n">
        <f aca="false">IFERROR(__xludf.dummyfunction("""COMPUTED_VALUE"""),10000)</f>
        <v>10000</v>
      </c>
      <c r="G650" s="2" t="n">
        <f aca="false">IFERROR(__xludf.dummyfunction("""COMPUTED_VALUE"""),30)</f>
        <v>30</v>
      </c>
      <c r="H650" s="2" t="n">
        <f aca="false">IFERROR(__xludf.dummyfunction("""COMPUTED_VALUE"""),30)</f>
        <v>30</v>
      </c>
      <c r="I650" s="9" t="n">
        <f aca="false">IFERROR(__xludf.dummyfunction("""COMPUTED_VALUE"""),120000)</f>
        <v>120000</v>
      </c>
      <c r="J650" s="9" t="n">
        <f aca="false">IFERROR(__xludf.dummyfunction("""COMPUTED_VALUE"""),63)</f>
        <v>63</v>
      </c>
      <c r="K650" s="9"/>
      <c r="L650" s="9" t="n">
        <f aca="false">IFERROR(__xludf.dummyfunction("""COMPUTED_VALUE"""),0)</f>
        <v>0</v>
      </c>
      <c r="M650" s="9"/>
    </row>
    <row r="651" customFormat="false" ht="15.75" hidden="false" customHeight="false" outlineLevel="0" collapsed="false">
      <c r="A651" s="2" t="str">
        <f aca="false">IFERROR(__xludf.dummyfunction("""COMPUTED_VALUE"""),"HET/KAN/1303")</f>
        <v>HET/KAN/1303</v>
      </c>
      <c r="B651" s="2" t="str">
        <f aca="false">IFERROR(__xludf.dummyfunction("""COMPUTED_VALUE"""),"Harikrishnan D")</f>
        <v>Harikrishnan D</v>
      </c>
      <c r="C651" s="2" t="str">
        <f aca="false">IFERROR(__xludf.dummyfunction("""COMPUTED_VALUE"""),"KITCHEN")</f>
        <v>KITCHEN</v>
      </c>
      <c r="D651" s="2" t="str">
        <f aca="false">IFERROR(__xludf.dummyfunction("""COMPUTED_VALUE"""),"Kanha")</f>
        <v>Kanha</v>
      </c>
      <c r="E651" s="16" t="n">
        <f aca="false">IFERROR(__xludf.dummyfunction("""COMPUTED_VALUE"""),43742)</f>
        <v>43742</v>
      </c>
      <c r="F651" s="9" t="n">
        <f aca="false">IFERROR(__xludf.dummyfunction("""COMPUTED_VALUE"""),20000)</f>
        <v>20000</v>
      </c>
      <c r="G651" s="2" t="n">
        <f aca="false">IFERROR(__xludf.dummyfunction("""COMPUTED_VALUE"""),30)</f>
        <v>30</v>
      </c>
      <c r="H651" s="2" t="n">
        <f aca="false">IFERROR(__xludf.dummyfunction("""COMPUTED_VALUE"""),30)</f>
        <v>30</v>
      </c>
      <c r="I651" s="9" t="n">
        <f aca="false">IFERROR(__xludf.dummyfunction("""COMPUTED_VALUE"""),240000)</f>
        <v>240000</v>
      </c>
      <c r="J651" s="9" t="n">
        <f aca="false">IFERROR(__xludf.dummyfunction("""COMPUTED_VALUE"""),84)</f>
        <v>84</v>
      </c>
      <c r="K651" s="9"/>
      <c r="L651" s="9" t="n">
        <f aca="false">IFERROR(__xludf.dummyfunction("""COMPUTED_VALUE"""),0)</f>
        <v>0</v>
      </c>
      <c r="M651" s="9"/>
    </row>
    <row r="652" customFormat="false" ht="15.75" hidden="false" customHeight="false" outlineLevel="0" collapsed="false">
      <c r="A652" s="2" t="str">
        <f aca="false">IFERROR(__xludf.dummyfunction("""COMPUTED_VALUE"""),"SRCM/BMA/0067")</f>
        <v>SRCM/BMA/0067</v>
      </c>
      <c r="B652" s="2" t="str">
        <f aca="false">IFERROR(__xludf.dummyfunction("""COMPUTED_VALUE"""),"K RAJAN")</f>
        <v>K RAJAN</v>
      </c>
      <c r="C652" s="2" t="str">
        <f aca="false">IFERROR(__xludf.dummyfunction("""COMPUTED_VALUE"""),"KITCHEN")</f>
        <v>KITCHEN</v>
      </c>
      <c r="D652" s="2" t="str">
        <f aca="false">IFERROR(__xludf.dummyfunction("""COMPUTED_VALUE"""),"Kanha")</f>
        <v>Kanha</v>
      </c>
      <c r="E652" s="16" t="n">
        <f aca="false">IFERROR(__xludf.dummyfunction("""COMPUTED_VALUE"""),37803)</f>
        <v>37803</v>
      </c>
      <c r="F652" s="9" t="n">
        <f aca="false">IFERROR(__xludf.dummyfunction("""COMPUTED_VALUE"""),15972)</f>
        <v>15972</v>
      </c>
      <c r="G652" s="2" t="n">
        <f aca="false">IFERROR(__xludf.dummyfunction("""COMPUTED_VALUE"""),30)</f>
        <v>30</v>
      </c>
      <c r="H652" s="2" t="n">
        <f aca="false">IFERROR(__xludf.dummyfunction("""COMPUTED_VALUE"""),30)</f>
        <v>30</v>
      </c>
      <c r="I652" s="9" t="n">
        <f aca="false">IFERROR(__xludf.dummyfunction("""COMPUTED_VALUE"""),191664)</f>
        <v>191664</v>
      </c>
      <c r="J652" s="9" t="n">
        <f aca="false">IFERROR(__xludf.dummyfunction("""COMPUTED_VALUE"""),242)</f>
        <v>242</v>
      </c>
      <c r="K652" s="9"/>
      <c r="L652" s="9" t="n">
        <f aca="false">IFERROR(__xludf.dummyfunction("""COMPUTED_VALUE"""),0)</f>
        <v>0</v>
      </c>
      <c r="M652" s="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3.14"/>
    <col collapsed="false" customWidth="true" hidden="false" outlineLevel="0" max="2" min="2" style="0" width="19.71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</row>
    <row r="2" customFormat="false" ht="15.75" hidden="false" customHeight="false" outlineLevel="0" collapsed="false">
      <c r="A2" s="5" t="s">
        <v>343</v>
      </c>
      <c r="B2" s="5" t="s">
        <v>344</v>
      </c>
      <c r="C2" s="5" t="s">
        <v>187</v>
      </c>
      <c r="D2" s="5" t="s">
        <v>345</v>
      </c>
      <c r="E2" s="5" t="n">
        <v>7</v>
      </c>
      <c r="F2" s="5" t="n">
        <v>480000</v>
      </c>
      <c r="G2" s="5" t="n">
        <v>668</v>
      </c>
    </row>
    <row r="3" customFormat="false" ht="15.75" hidden="false" customHeight="false" outlineLevel="0" collapsed="false">
      <c r="A3" s="5" t="s">
        <v>489</v>
      </c>
      <c r="B3" s="5" t="s">
        <v>490</v>
      </c>
      <c r="C3" s="5" t="s">
        <v>187</v>
      </c>
      <c r="D3" s="5" t="s">
        <v>345</v>
      </c>
      <c r="E3" s="5" t="n">
        <v>7</v>
      </c>
      <c r="F3" s="5" t="n">
        <v>156000</v>
      </c>
      <c r="G3" s="5" t="n">
        <v>62</v>
      </c>
    </row>
    <row r="4" customFormat="false" ht="15.75" hidden="false" customHeight="false" outlineLevel="0" collapsed="false">
      <c r="A4" s="5" t="s">
        <v>613</v>
      </c>
      <c r="B4" s="5" t="s">
        <v>614</v>
      </c>
      <c r="C4" s="5" t="s">
        <v>187</v>
      </c>
      <c r="D4" s="5" t="s">
        <v>345</v>
      </c>
      <c r="E4" s="5" t="n">
        <v>7</v>
      </c>
      <c r="F4" s="5" t="n">
        <v>120000</v>
      </c>
      <c r="G4" s="5" t="n">
        <v>0</v>
      </c>
    </row>
    <row r="5" customFormat="false" ht="15.75" hidden="false" customHeight="false" outlineLevel="0" collapsed="false">
      <c r="A5" s="5" t="s">
        <v>634</v>
      </c>
      <c r="B5" s="5" t="s">
        <v>635</v>
      </c>
      <c r="C5" s="5" t="s">
        <v>187</v>
      </c>
      <c r="D5" s="5" t="s">
        <v>345</v>
      </c>
      <c r="E5" s="5" t="n">
        <v>7</v>
      </c>
      <c r="F5" s="5" t="n">
        <v>144000</v>
      </c>
      <c r="G5" s="5" t="n">
        <v>93</v>
      </c>
    </row>
    <row r="6" customFormat="false" ht="15.75" hidden="false" customHeight="false" outlineLevel="0" collapsed="false">
      <c r="A6" s="5" t="s">
        <v>826</v>
      </c>
      <c r="B6" s="5" t="s">
        <v>827</v>
      </c>
      <c r="C6" s="5" t="s">
        <v>187</v>
      </c>
      <c r="D6" s="5" t="s">
        <v>345</v>
      </c>
      <c r="E6" s="5" t="n">
        <v>7</v>
      </c>
      <c r="F6" s="5" t="n">
        <v>168000</v>
      </c>
      <c r="G6" s="5" t="n">
        <v>93</v>
      </c>
    </row>
    <row r="7" customFormat="false" ht="15.75" hidden="false" customHeight="false" outlineLevel="0" collapsed="false">
      <c r="A7" s="5" t="s">
        <v>938</v>
      </c>
      <c r="B7" s="5" t="s">
        <v>939</v>
      </c>
      <c r="C7" s="5" t="s">
        <v>187</v>
      </c>
      <c r="D7" s="5" t="s">
        <v>345</v>
      </c>
      <c r="E7" s="5" t="n">
        <v>7</v>
      </c>
      <c r="F7" s="5" t="n">
        <v>300000</v>
      </c>
      <c r="G7" s="5" t="n">
        <v>319</v>
      </c>
    </row>
    <row r="8" customFormat="false" ht="15.75" hidden="false" customHeight="false" outlineLevel="0" collapsed="false">
      <c r="A8" s="5" t="s">
        <v>1046</v>
      </c>
      <c r="B8" s="5" t="s">
        <v>1047</v>
      </c>
      <c r="C8" s="5" t="s">
        <v>187</v>
      </c>
      <c r="D8" s="5" t="s">
        <v>345</v>
      </c>
      <c r="E8" s="5" t="n">
        <v>7</v>
      </c>
      <c r="F8" s="5" t="n">
        <v>120000</v>
      </c>
      <c r="G8" s="5" t="n">
        <v>62</v>
      </c>
    </row>
    <row r="9" customFormat="false" ht="15.75" hidden="false" customHeight="false" outlineLevel="0" collapsed="false">
      <c r="A9" s="5" t="s">
        <v>1221</v>
      </c>
      <c r="B9" s="5" t="s">
        <v>1222</v>
      </c>
      <c r="C9" s="5" t="s">
        <v>187</v>
      </c>
      <c r="D9" s="5" t="s">
        <v>345</v>
      </c>
      <c r="E9" s="5" t="n">
        <v>7</v>
      </c>
      <c r="F9" s="5" t="n">
        <v>216000</v>
      </c>
      <c r="G9" s="5" t="n">
        <v>93</v>
      </c>
    </row>
    <row r="10" customFormat="false" ht="15.75" hidden="false" customHeight="false" outlineLevel="0" collapsed="false">
      <c r="A10" s="5" t="s">
        <v>1279</v>
      </c>
      <c r="B10" s="5" t="s">
        <v>1280</v>
      </c>
      <c r="C10" s="5" t="s">
        <v>187</v>
      </c>
      <c r="D10" s="5" t="s">
        <v>345</v>
      </c>
      <c r="E10" s="5" t="n">
        <v>7</v>
      </c>
      <c r="F10" s="5" t="n">
        <v>264000</v>
      </c>
      <c r="G10" s="5" t="n">
        <v>187</v>
      </c>
    </row>
    <row r="11" customFormat="false" ht="15.75" hidden="false" customHeight="false" outlineLevel="0" collapsed="false">
      <c r="A11" s="5" t="s">
        <v>1649</v>
      </c>
      <c r="B11" s="5" t="s">
        <v>1650</v>
      </c>
      <c r="C11" s="5" t="s">
        <v>187</v>
      </c>
      <c r="D11" s="5" t="s">
        <v>345</v>
      </c>
      <c r="E11" s="5" t="n">
        <v>7</v>
      </c>
      <c r="F11" s="5" t="n">
        <v>156000</v>
      </c>
      <c r="G11" s="5" t="n">
        <v>62</v>
      </c>
    </row>
    <row r="12" customFormat="false" ht="15.75" hidden="false" customHeight="false" outlineLevel="0" collapsed="false">
      <c r="A12" s="5" t="s">
        <v>1705</v>
      </c>
      <c r="B12" s="5" t="s">
        <v>1706</v>
      </c>
      <c r="C12" s="5" t="s">
        <v>187</v>
      </c>
      <c r="D12" s="5" t="s">
        <v>345</v>
      </c>
      <c r="E12" s="5" t="n">
        <v>7</v>
      </c>
      <c r="F12" s="5" t="n">
        <v>156000</v>
      </c>
      <c r="G12" s="5" t="n">
        <v>93</v>
      </c>
    </row>
    <row r="13" customFormat="false" ht="15.75" hidden="false" customHeight="false" outlineLevel="0" collapsed="false">
      <c r="A13" s="5" t="s">
        <v>1721</v>
      </c>
      <c r="B13" s="5" t="s">
        <v>1722</v>
      </c>
      <c r="C13" s="5" t="s">
        <v>187</v>
      </c>
      <c r="D13" s="5" t="s">
        <v>345</v>
      </c>
      <c r="E13" s="5" t="n">
        <v>7</v>
      </c>
      <c r="F13" s="5" t="n">
        <v>360000</v>
      </c>
      <c r="G13" s="5" t="n">
        <v>531</v>
      </c>
    </row>
    <row r="14" customFormat="false" ht="15.75" hidden="false" customHeight="false" outlineLevel="0" collapsed="false">
      <c r="A14" s="17" t="s">
        <v>1826</v>
      </c>
      <c r="B14" s="18" t="s">
        <v>1827</v>
      </c>
      <c r="C14" s="5" t="s">
        <v>187</v>
      </c>
      <c r="D14" s="5" t="s">
        <v>345</v>
      </c>
      <c r="E14" s="5" t="n">
        <v>7</v>
      </c>
      <c r="F14" s="5" t="n">
        <v>204000</v>
      </c>
      <c r="G14" s="5" t="n">
        <v>0</v>
      </c>
    </row>
    <row r="15" customFormat="false" ht="15.75" hidden="false" customHeight="false" outlineLevel="0" collapsed="false">
      <c r="A15" s="19" t="s">
        <v>1828</v>
      </c>
      <c r="B15" s="5" t="s">
        <v>1829</v>
      </c>
      <c r="C15" s="5" t="s">
        <v>187</v>
      </c>
      <c r="D15" s="5" t="s">
        <v>345</v>
      </c>
      <c r="E15" s="5" t="n">
        <v>7</v>
      </c>
      <c r="F15" s="2" t="n">
        <f aca="false">14000*12</f>
        <v>168000</v>
      </c>
      <c r="G15" s="5" t="n">
        <v>135</v>
      </c>
    </row>
  </sheetData>
  <conditionalFormatting sqref="A14:B14 C14:E15 F14:G14">
    <cfRule type="expression" priority="2" aboveAverage="0" equalAverage="0" bottom="0" percent="0" rank="0" text="" dxfId="0">
      <formula>#ref!="YES"</formula>
    </cfRule>
  </conditionalFormatting>
  <conditionalFormatting sqref="A13:G13">
    <cfRule type="expression" priority="3" aboveAverage="0" equalAverage="0" bottom="0" percent="0" rank="0" text="" dxfId="0">
      <formula>#ref!="YES"</formula>
    </cfRule>
  </conditionalFormatting>
  <conditionalFormatting sqref="A12:G12 G14">
    <cfRule type="expression" priority="4" aboveAverage="0" equalAverage="0" bottom="0" percent="0" rank="0" text="" dxfId="0">
      <formula>#ref!="YES"</formula>
    </cfRule>
  </conditionalFormatting>
  <conditionalFormatting sqref="A11:G11 F14">
    <cfRule type="expression" priority="5" aboveAverage="0" equalAverage="0" bottom="0" percent="0" rank="0" text="" dxfId="0">
      <formula>#ref!="YES"</formula>
    </cfRule>
  </conditionalFormatting>
  <conditionalFormatting sqref="A10:G10">
    <cfRule type="expression" priority="6" aboveAverage="0" equalAverage="0" bottom="0" percent="0" rank="0" text="" dxfId="0">
      <formula>#ref!="YES"</formula>
    </cfRule>
  </conditionalFormatting>
  <conditionalFormatting sqref="A9:G9">
    <cfRule type="expression" priority="7" aboveAverage="0" equalAverage="0" bottom="0" percent="0" rank="0" text="" dxfId="0">
      <formula>#ref!="YES"</formula>
    </cfRule>
  </conditionalFormatting>
  <conditionalFormatting sqref="A8:G8">
    <cfRule type="expression" priority="8" aboveAverage="0" equalAverage="0" bottom="0" percent="0" rank="0" text="" dxfId="0">
      <formula>#ref!="YES"</formula>
    </cfRule>
  </conditionalFormatting>
  <conditionalFormatting sqref="A7:G7">
    <cfRule type="expression" priority="9" aboveAverage="0" equalAverage="0" bottom="0" percent="0" rank="0" text="" dxfId="0">
      <formula>#ref!="YES"</formula>
    </cfRule>
  </conditionalFormatting>
  <conditionalFormatting sqref="A6:G6">
    <cfRule type="expression" priority="10" aboveAverage="0" equalAverage="0" bottom="0" percent="0" rank="0" text="" dxfId="0">
      <formula>#ref!="YES"</formula>
    </cfRule>
  </conditionalFormatting>
  <conditionalFormatting sqref="A5:G5">
    <cfRule type="expression" priority="11" aboveAverage="0" equalAverage="0" bottom="0" percent="0" rank="0" text="" dxfId="0">
      <formula>#ref!="YES"</formula>
    </cfRule>
  </conditionalFormatting>
  <conditionalFormatting sqref="A4:G4">
    <cfRule type="expression" priority="12" aboveAverage="0" equalAverage="0" bottom="0" percent="0" rank="0" text="" dxfId="0">
      <formula>#ref!="YES"</formula>
    </cfRule>
  </conditionalFormatting>
  <conditionalFormatting sqref="A3:G3">
    <cfRule type="expression" priority="13" aboveAverage="0" equalAverage="0" bottom="0" percent="0" rank="0" text="" dxfId="0">
      <formula>#ref!="YES"</formula>
    </cfRule>
  </conditionalFormatting>
  <conditionalFormatting sqref="A2:G2">
    <cfRule type="expression" priority="14" aboveAverage="0" equalAverage="0" bottom="0" percent="0" rank="0" text="" dxfId="0">
      <formula>#ref!="YES"</formula>
    </cfRule>
  </conditionalFormatting>
  <dataValidations count="1">
    <dataValidation allowBlank="true" operator="between" showDropDown="false" showErrorMessage="false" showInputMessage="false" sqref="E2:E15" type="list">
      <formula1>'Salary Structure'!$B$2:$B$889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2020-10-08T20:09:51Z</dcterms:modified>
  <cp:revision>1</cp:revision>
  <dc:subject/>
  <dc:title/>
</cp:coreProperties>
</file>