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M8" i="11" l="1"/>
  <c r="M17" i="11"/>
  <c r="M16" i="11"/>
  <c r="M15" i="11"/>
  <c r="M14" i="11"/>
  <c r="M13" i="11"/>
  <c r="M12" i="11"/>
  <c r="M9" i="11"/>
  <c r="M11" i="11"/>
  <c r="M10" i="11"/>
  <c r="M14" i="10"/>
  <c r="M13" i="10"/>
  <c r="M12" i="10"/>
  <c r="M11" i="10"/>
  <c r="M9" i="10"/>
  <c r="M10" i="10"/>
  <c r="M8" i="10"/>
  <c r="G26" i="7" l="1"/>
  <c r="C15" i="7"/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J26" i="12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6" i="12"/>
  <c r="F3" i="10" l="1"/>
  <c r="D12" i="2" l="1"/>
  <c r="B1" i="2"/>
  <c r="D14" i="2"/>
  <c r="M21" i="12"/>
  <c r="M19" i="12"/>
  <c r="M32" i="12"/>
  <c r="M18" i="12"/>
  <c r="M38" i="12"/>
  <c r="M36" i="12"/>
  <c r="M26" i="12"/>
  <c r="M14" i="12"/>
  <c r="G38" i="12"/>
  <c r="H19" i="12"/>
  <c r="H14" i="12"/>
  <c r="M17" i="12"/>
  <c r="M20" i="12"/>
  <c r="M25" i="12"/>
  <c r="D17" i="2"/>
  <c r="H38" i="12"/>
  <c r="G19" i="12"/>
  <c r="G14" i="12"/>
  <c r="M30" i="12"/>
  <c r="M23" i="12"/>
  <c r="M24" i="12"/>
  <c r="M9" i="12"/>
  <c r="G30" i="12"/>
  <c r="H23" i="12"/>
  <c r="G24" i="12"/>
  <c r="M11" i="12"/>
  <c r="M39" i="12"/>
  <c r="M29" i="12"/>
  <c r="M37" i="12"/>
  <c r="H30" i="12"/>
  <c r="G23" i="12"/>
  <c r="H24" i="12"/>
  <c r="M28" i="12"/>
  <c r="M34" i="12"/>
  <c r="M15" i="12"/>
  <c r="H15" i="12" s="1"/>
  <c r="H11" i="12"/>
  <c r="G39" i="12"/>
  <c r="H29" i="12"/>
  <c r="M12" i="12"/>
  <c r="G12" i="12" s="1"/>
  <c r="M13" i="12"/>
  <c r="G13" i="12" s="1"/>
  <c r="M22" i="12"/>
  <c r="G11" i="12"/>
  <c r="H39" i="12"/>
  <c r="G29" i="12"/>
  <c r="G9" i="12"/>
  <c r="M35" i="12"/>
  <c r="M10" i="12"/>
  <c r="H12" i="12"/>
  <c r="G15" i="12"/>
  <c r="H9" i="12"/>
  <c r="M31" i="12"/>
  <c r="H13" i="12"/>
  <c r="M16" i="12"/>
  <c r="M27" i="12"/>
  <c r="M33" i="12"/>
  <c r="G10" i="12"/>
  <c r="H10" i="12"/>
  <c r="G31" i="12"/>
  <c r="H31" i="12"/>
  <c r="H16" i="12"/>
  <c r="G16" i="12"/>
  <c r="H20" i="12"/>
  <c r="H27" i="12"/>
  <c r="H17" i="12"/>
  <c r="G21" i="12"/>
  <c r="G27" i="12"/>
  <c r="H35" i="12"/>
  <c r="H26" i="12"/>
  <c r="H37" i="12"/>
  <c r="H32" i="12"/>
  <c r="H22" i="12"/>
  <c r="H36" i="12"/>
  <c r="G33" i="12"/>
  <c r="G22" i="12"/>
  <c r="H34" i="12"/>
  <c r="H18" i="12"/>
  <c r="G26" i="12"/>
  <c r="G35" i="12"/>
  <c r="G28" i="12"/>
  <c r="H21" i="12"/>
  <c r="G36" i="12"/>
  <c r="G34" i="12"/>
  <c r="G37" i="12"/>
  <c r="G17" i="12"/>
  <c r="G18" i="12"/>
  <c r="H25" i="12"/>
  <c r="H28" i="12"/>
  <c r="G32" i="12"/>
  <c r="H33" i="12"/>
  <c r="G25" i="12"/>
  <c r="G20" i="12"/>
  <c r="B39" i="7" l="1"/>
  <c r="B26" i="7"/>
  <c r="C10" i="7"/>
  <c r="B20" i="7"/>
  <c r="B32" i="7"/>
  <c r="C7" i="7"/>
  <c r="C32" i="7"/>
  <c r="D38" i="7"/>
  <c r="B13" i="7"/>
  <c r="B8" i="7"/>
  <c r="B9" i="7"/>
  <c r="B7" i="7"/>
  <c r="D25" i="7"/>
  <c r="D7" i="7"/>
  <c r="C9" i="7"/>
  <c r="B37" i="7"/>
  <c r="D20" i="7"/>
  <c r="D22" i="7"/>
  <c r="B35" i="7"/>
  <c r="D29" i="7"/>
  <c r="D21" i="7"/>
  <c r="D35" i="7"/>
  <c r="C37" i="7"/>
  <c r="B30" i="7"/>
  <c r="D6" i="7"/>
  <c r="D31" i="7"/>
  <c r="C33" i="7"/>
  <c r="C18" i="7"/>
  <c r="D26" i="7"/>
  <c r="C28" i="7"/>
  <c r="C20" i="7"/>
  <c r="B34" i="7"/>
  <c r="D9" i="7"/>
  <c r="D30" i="7"/>
  <c r="D10" i="7"/>
  <c r="C8" i="7"/>
  <c r="C23" i="7"/>
  <c r="D23" i="7"/>
  <c r="B25" i="7"/>
  <c r="C17" i="7"/>
  <c r="C12" i="7"/>
  <c r="C38" i="7"/>
  <c r="B10" i="7"/>
  <c r="D16" i="7"/>
  <c r="D12" i="7"/>
  <c r="C29" i="7"/>
  <c r="B23" i="7"/>
  <c r="D8" i="7"/>
  <c r="C6" i="7"/>
  <c r="D11" i="7"/>
  <c r="C30" i="7"/>
  <c r="B17" i="7"/>
  <c r="C39" i="7"/>
  <c r="B15" i="7"/>
  <c r="D18" i="7"/>
  <c r="C35" i="7"/>
  <c r="D14" i="7"/>
  <c r="D17" i="7"/>
  <c r="C31" i="7"/>
  <c r="D37" i="7"/>
  <c r="D13" i="7"/>
  <c r="C27" i="7"/>
  <c r="B31" i="7"/>
  <c r="C13" i="7"/>
  <c r="B28" i="7"/>
  <c r="D36" i="7"/>
  <c r="D15" i="7"/>
  <c r="C36" i="7"/>
  <c r="D19" i="7"/>
  <c r="C11" i="7"/>
  <c r="D39" i="7"/>
  <c r="B29" i="7"/>
  <c r="B12" i="7"/>
  <c r="C19" i="7"/>
  <c r="B16" i="7"/>
  <c r="B27" i="7"/>
  <c r="C24" i="7"/>
  <c r="C34" i="7"/>
  <c r="C16" i="7"/>
  <c r="B14" i="7"/>
  <c r="B33" i="7"/>
  <c r="B36" i="7"/>
  <c r="B6" i="7"/>
  <c r="D32" i="7"/>
  <c r="D27" i="7"/>
  <c r="C14" i="7"/>
  <c r="B11" i="7"/>
  <c r="B38" i="7"/>
  <c r="D28" i="7"/>
  <c r="D33" i="7"/>
  <c r="D34" i="7"/>
  <c r="C25" i="7"/>
  <c r="C26" i="7"/>
  <c r="D18" i="2" l="1"/>
  <c r="M31" i="11"/>
  <c r="M33" i="10"/>
  <c r="M31" i="10"/>
  <c r="D5" i="2"/>
  <c r="M26" i="10"/>
  <c r="M34" i="11"/>
  <c r="M25" i="10"/>
  <c r="H7" i="11"/>
  <c r="M28" i="10"/>
  <c r="M39" i="11"/>
  <c r="M34" i="10"/>
  <c r="M38" i="10"/>
  <c r="H6" i="10"/>
  <c r="M39" i="10"/>
  <c r="M25" i="11"/>
  <c r="M38" i="11"/>
  <c r="M35" i="11"/>
  <c r="H6" i="11"/>
  <c r="M27" i="10"/>
  <c r="M37" i="10"/>
  <c r="M29" i="10"/>
  <c r="M35" i="10"/>
  <c r="M37" i="11"/>
  <c r="M30" i="11"/>
  <c r="M27" i="11"/>
  <c r="M26" i="11"/>
  <c r="M36" i="10"/>
  <c r="M32" i="10"/>
  <c r="M32" i="11"/>
  <c r="M36" i="11"/>
  <c r="M28" i="11"/>
  <c r="M33" i="11"/>
  <c r="M30" i="10"/>
  <c r="M29" i="11"/>
  <c r="H7" i="10"/>
  <c r="B6" i="11" l="1"/>
  <c r="G7" i="11"/>
  <c r="G7" i="10"/>
  <c r="B6" i="10"/>
  <c r="B7" i="11"/>
  <c r="B7" i="10"/>
  <c r="F26" i="10"/>
  <c r="F31" i="10"/>
  <c r="F29" i="11"/>
  <c r="F39" i="11"/>
  <c r="F37" i="10"/>
  <c r="F29" i="10"/>
  <c r="F38" i="11"/>
  <c r="F38" i="10"/>
  <c r="F37" i="11"/>
  <c r="F31" i="11"/>
  <c r="F30" i="11"/>
  <c r="G6" i="11"/>
  <c r="F6" i="10"/>
  <c r="G6" i="10"/>
  <c r="F25" i="10"/>
  <c r="F35" i="10"/>
  <c r="F35" i="11"/>
  <c r="F36" i="11"/>
  <c r="F39" i="10"/>
  <c r="F36" i="10"/>
  <c r="F30" i="10"/>
  <c r="F7" i="11"/>
  <c r="F27" i="10"/>
  <c r="F6" i="11"/>
  <c r="F26" i="11"/>
  <c r="F34" i="11"/>
  <c r="F32" i="11"/>
  <c r="F28" i="10"/>
  <c r="F7" i="10"/>
  <c r="F28" i="11"/>
  <c r="F34" i="10"/>
  <c r="F25" i="11"/>
  <c r="F33" i="11"/>
  <c r="F32" i="10"/>
  <c r="F27" i="11"/>
  <c r="F33" i="10"/>
  <c r="F12" i="10"/>
  <c r="F15" i="11"/>
  <c r="F10" i="10"/>
  <c r="F13" i="10"/>
  <c r="F14" i="10"/>
  <c r="F11" i="11"/>
  <c r="F17" i="11"/>
  <c r="F10" i="11"/>
  <c r="F16" i="11"/>
  <c r="F9" i="11"/>
  <c r="F12" i="11"/>
  <c r="F11" i="10"/>
  <c r="F8" i="11"/>
  <c r="F14" i="11"/>
  <c r="F13" i="11"/>
  <c r="F6" i="12"/>
  <c r="F9" i="10"/>
  <c r="F8" i="10"/>
  <c r="D19" i="2"/>
  <c r="G38" i="10"/>
  <c r="G29" i="11"/>
  <c r="G38" i="11"/>
  <c r="G11" i="10"/>
  <c r="G14" i="11"/>
  <c r="G30" i="10"/>
  <c r="G13" i="10"/>
  <c r="G39" i="10"/>
  <c r="G25" i="10"/>
  <c r="G26" i="10"/>
  <c r="G12" i="10"/>
  <c r="G35" i="11"/>
  <c r="G37" i="11"/>
  <c r="G32" i="11"/>
  <c r="G29" i="10"/>
  <c r="G34" i="10"/>
  <c r="G17" i="11"/>
  <c r="G28" i="10"/>
  <c r="G10" i="11"/>
  <c r="G36" i="10"/>
  <c r="G37" i="10"/>
  <c r="G33" i="10"/>
  <c r="G25" i="11"/>
  <c r="G6" i="12"/>
  <c r="G30" i="11"/>
  <c r="G27" i="10"/>
  <c r="G9" i="10"/>
  <c r="G33" i="11"/>
  <c r="G26" i="11"/>
  <c r="G28" i="11"/>
  <c r="G10" i="10"/>
  <c r="G12" i="11"/>
  <c r="G35" i="10"/>
  <c r="G8" i="10"/>
  <c r="G27" i="11"/>
  <c r="G13" i="11"/>
  <c r="G8" i="11"/>
  <c r="G14" i="10"/>
  <c r="G31" i="11"/>
  <c r="G31" i="10"/>
  <c r="G9" i="11"/>
  <c r="G36" i="11"/>
  <c r="G11" i="11"/>
  <c r="G15" i="11"/>
  <c r="G34" i="11"/>
  <c r="G32" i="10"/>
  <c r="G39" i="11"/>
  <c r="G16" i="11"/>
  <c r="G23" i="10"/>
  <c r="G19" i="11"/>
  <c r="G22" i="10"/>
  <c r="G16" i="10"/>
  <c r="G21" i="10"/>
  <c r="G19" i="10"/>
  <c r="G24" i="10"/>
  <c r="G21" i="11"/>
  <c r="G17" i="10"/>
  <c r="G18" i="11"/>
  <c r="G22" i="11"/>
  <c r="G15" i="10"/>
  <c r="G18" i="10"/>
  <c r="G23" i="11"/>
  <c r="G20" i="11"/>
  <c r="G20" i="10"/>
  <c r="G24" i="11"/>
  <c r="H23" i="10"/>
  <c r="F23" i="10"/>
  <c r="H19" i="11"/>
  <c r="F19" i="11"/>
  <c r="H22" i="10"/>
  <c r="F22" i="10"/>
  <c r="H16" i="10"/>
  <c r="F16" i="10"/>
  <c r="H21" i="10"/>
  <c r="F21" i="10"/>
  <c r="H19" i="10"/>
  <c r="F19" i="10"/>
  <c r="H24" i="10"/>
  <c r="F24" i="10"/>
  <c r="H21" i="11"/>
  <c r="F21" i="11"/>
  <c r="F17" i="10"/>
  <c r="H18" i="11"/>
  <c r="F18" i="11"/>
  <c r="H22" i="11"/>
  <c r="F22" i="11"/>
  <c r="H15" i="10"/>
  <c r="F15" i="10"/>
  <c r="F18" i="10"/>
  <c r="H18" i="10"/>
  <c r="H23" i="11"/>
  <c r="F23" i="11"/>
  <c r="H20" i="11"/>
  <c r="F20" i="11"/>
  <c r="H20" i="10"/>
  <c r="F20" i="10"/>
  <c r="H24" i="11"/>
  <c r="F24" i="11"/>
  <c r="H39" i="11"/>
  <c r="H31" i="11"/>
  <c r="H10" i="10"/>
  <c r="H25" i="11"/>
  <c r="H29" i="10"/>
  <c r="H13" i="10"/>
  <c r="H27" i="11"/>
  <c r="H10" i="11"/>
  <c r="H38" i="11"/>
  <c r="H28" i="10"/>
  <c r="H32" i="10"/>
  <c r="H14" i="10"/>
  <c r="H28" i="11"/>
  <c r="H33" i="10"/>
  <c r="H32" i="11"/>
  <c r="H30" i="10"/>
  <c r="H14" i="11"/>
  <c r="H11" i="11"/>
  <c r="H9" i="10"/>
  <c r="H12" i="10"/>
  <c r="H36" i="11"/>
  <c r="H29" i="11"/>
  <c r="H34" i="11"/>
  <c r="H8" i="11"/>
  <c r="H26" i="11"/>
  <c r="H37" i="10"/>
  <c r="H37" i="11"/>
  <c r="H8" i="10"/>
  <c r="H15" i="11"/>
  <c r="H13" i="11"/>
  <c r="H33" i="11"/>
  <c r="H36" i="10"/>
  <c r="H35" i="11"/>
  <c r="H11" i="10"/>
  <c r="H27" i="10"/>
  <c r="H17" i="10"/>
  <c r="H9" i="11"/>
  <c r="H35" i="10"/>
  <c r="H30" i="11"/>
  <c r="H17" i="11"/>
  <c r="H25" i="10"/>
  <c r="H38" i="10"/>
  <c r="H16" i="11"/>
  <c r="H31" i="10"/>
  <c r="H12" i="11"/>
  <c r="H6" i="12"/>
  <c r="H34" i="10"/>
  <c r="H39" i="10"/>
  <c r="H26" i="10"/>
  <c r="F7" i="12" l="1"/>
  <c r="B12" i="11"/>
  <c r="B16" i="11"/>
  <c r="B17" i="11"/>
  <c r="B9" i="11"/>
  <c r="B11" i="10"/>
  <c r="B13" i="11"/>
  <c r="B15" i="11"/>
  <c r="B8" i="10"/>
  <c r="B8" i="11"/>
  <c r="B12" i="10"/>
  <c r="B9" i="10"/>
  <c r="B11" i="11"/>
  <c r="B14" i="11"/>
  <c r="B14" i="10"/>
  <c r="B10" i="11"/>
  <c r="B13" i="10"/>
  <c r="B10" i="10"/>
  <c r="G7" i="12"/>
  <c r="H7" i="12"/>
  <c r="F8" i="12" l="1"/>
  <c r="G8" i="12"/>
  <c r="H8" i="12"/>
  <c r="D6" i="2" l="1"/>
  <c r="I8" i="12"/>
  <c r="I7" i="12"/>
  <c r="I24" i="11"/>
  <c r="I20" i="10"/>
  <c r="I20" i="11"/>
  <c r="I23" i="11"/>
  <c r="I18" i="10"/>
  <c r="I15" i="10"/>
  <c r="I22" i="11"/>
  <c r="I18" i="11"/>
  <c r="I17" i="10"/>
  <c r="I21" i="11"/>
  <c r="I24" i="10"/>
  <c r="I19" i="10"/>
  <c r="I21" i="10"/>
  <c r="I16" i="10"/>
  <c r="I22" i="10"/>
  <c r="I19" i="11"/>
  <c r="I23" i="10"/>
  <c r="I11" i="10"/>
  <c r="I33" i="10"/>
  <c r="I37" i="10"/>
  <c r="I38" i="10"/>
  <c r="I32" i="11"/>
  <c r="I25" i="11"/>
  <c r="I33" i="11"/>
  <c r="I38" i="11"/>
  <c r="I31" i="10"/>
  <c r="I10" i="10"/>
  <c r="I8" i="10"/>
  <c r="I26" i="10"/>
  <c r="I10" i="11"/>
  <c r="I28" i="10"/>
  <c r="I29" i="11"/>
  <c r="I9" i="11"/>
  <c r="I26" i="11"/>
  <c r="I8" i="11"/>
  <c r="M6" i="11" s="1"/>
  <c r="I12" i="11"/>
  <c r="I27" i="11"/>
  <c r="I36" i="10"/>
  <c r="I34" i="11"/>
  <c r="I30" i="11"/>
  <c r="I39" i="10"/>
  <c r="I39" i="11"/>
  <c r="I14" i="11"/>
  <c r="I27" i="10"/>
  <c r="I17" i="11"/>
  <c r="I25" i="10"/>
  <c r="I13" i="11"/>
  <c r="I28" i="11"/>
  <c r="I9" i="10"/>
  <c r="I36" i="11"/>
  <c r="I11" i="11"/>
  <c r="I37" i="11"/>
  <c r="I29" i="10"/>
  <c r="I12" i="10"/>
  <c r="I35" i="10"/>
  <c r="I35" i="11"/>
  <c r="I30" i="10"/>
  <c r="I34" i="10"/>
  <c r="I31" i="11"/>
  <c r="I6" i="12"/>
  <c r="I32" i="10"/>
  <c r="I14" i="10"/>
  <c r="I16" i="11"/>
  <c r="I13" i="10"/>
  <c r="I15" i="11"/>
  <c r="I11" i="12"/>
  <c r="I9" i="12"/>
  <c r="I16" i="12"/>
  <c r="I15" i="12"/>
  <c r="I14" i="12"/>
  <c r="I35" i="12"/>
  <c r="I20" i="12"/>
  <c r="I34" i="12"/>
  <c r="I17" i="12"/>
  <c r="I22" i="12"/>
  <c r="I19" i="12"/>
  <c r="I25" i="12"/>
  <c r="I23" i="12"/>
  <c r="I28" i="12"/>
  <c r="I26" i="12"/>
  <c r="I31" i="12"/>
  <c r="I37" i="12"/>
  <c r="I36" i="12"/>
  <c r="I21" i="12"/>
  <c r="I27" i="12"/>
  <c r="I12" i="12"/>
  <c r="I38" i="12"/>
  <c r="I33" i="12"/>
  <c r="I10" i="12"/>
  <c r="I30" i="12"/>
  <c r="I18" i="12"/>
  <c r="I39" i="12"/>
  <c r="I24" i="12"/>
  <c r="I13" i="12"/>
  <c r="I32" i="12"/>
  <c r="I29" i="12"/>
  <c r="H29" i="7" l="1"/>
  <c r="H32" i="7"/>
  <c r="H13" i="7"/>
  <c r="H39" i="7"/>
  <c r="H30" i="7"/>
  <c r="H10" i="7"/>
  <c r="H33" i="7"/>
  <c r="H38" i="7"/>
  <c r="H12" i="7"/>
  <c r="H27" i="7"/>
  <c r="H36" i="7"/>
  <c r="H37" i="7"/>
  <c r="H31" i="7"/>
  <c r="H26" i="7"/>
  <c r="H28" i="7"/>
  <c r="H23" i="7"/>
  <c r="H25" i="7"/>
  <c r="H17" i="7"/>
  <c r="H34" i="7"/>
  <c r="H20" i="7"/>
  <c r="H35" i="7"/>
  <c r="H14" i="7"/>
  <c r="H15" i="7"/>
  <c r="H16" i="7"/>
  <c r="H9" i="7"/>
  <c r="H11" i="7"/>
  <c r="P15" i="7"/>
  <c r="L13" i="7"/>
  <c r="P16" i="7"/>
  <c r="L14" i="7"/>
  <c r="L32" i="7"/>
  <c r="H6" i="7"/>
  <c r="P31" i="7"/>
  <c r="L34" i="7"/>
  <c r="L30" i="7"/>
  <c r="P35" i="7"/>
  <c r="L35" i="7"/>
  <c r="L12" i="7"/>
  <c r="L29" i="7"/>
  <c r="P37" i="7"/>
  <c r="P11" i="7"/>
  <c r="P36" i="7"/>
  <c r="L9" i="7"/>
  <c r="P28" i="7"/>
  <c r="P13" i="7"/>
  <c r="L25" i="7"/>
  <c r="P17" i="7"/>
  <c r="L27" i="7"/>
  <c r="P14" i="7"/>
  <c r="P39" i="7"/>
  <c r="L39" i="7"/>
  <c r="P30" i="7"/>
  <c r="P34" i="7"/>
  <c r="L36" i="7"/>
  <c r="P27" i="7"/>
  <c r="P12" i="7"/>
  <c r="P8" i="7"/>
  <c r="P26" i="7"/>
  <c r="P9" i="7"/>
  <c r="P29" i="7"/>
  <c r="L28" i="7"/>
  <c r="P10" i="7"/>
  <c r="L26" i="7"/>
  <c r="L8" i="7"/>
  <c r="L10" i="7"/>
  <c r="L31" i="7"/>
  <c r="P38" i="7"/>
  <c r="P33" i="7"/>
  <c r="P25" i="7"/>
  <c r="P32" i="7"/>
  <c r="L38" i="7"/>
  <c r="L37" i="7"/>
  <c r="L33" i="7"/>
  <c r="L11" i="7"/>
  <c r="L23" i="7"/>
  <c r="P19" i="7"/>
  <c r="L16" i="7"/>
  <c r="L19" i="7"/>
  <c r="L24" i="7"/>
  <c r="P21" i="7"/>
  <c r="L17" i="7"/>
  <c r="P18" i="7"/>
  <c r="P22" i="7"/>
  <c r="L15" i="7"/>
  <c r="L18" i="7"/>
  <c r="P23" i="7"/>
  <c r="P20" i="7"/>
  <c r="L20" i="7"/>
  <c r="H7" i="7"/>
  <c r="H8" i="7"/>
  <c r="S29" i="7"/>
  <c r="S12" i="7"/>
  <c r="S25" i="7"/>
  <c r="S9" i="7"/>
  <c r="W31" i="7"/>
  <c r="W11" i="7"/>
  <c r="W14" i="7"/>
  <c r="W8" i="7"/>
  <c r="U10" i="7"/>
  <c r="U33" i="7"/>
  <c r="U17" i="7"/>
  <c r="S7" i="7"/>
  <c r="S32" i="7"/>
  <c r="S27" i="7"/>
  <c r="S17" i="7"/>
  <c r="S11" i="7"/>
  <c r="U34" i="7"/>
  <c r="W36" i="7"/>
  <c r="W39" i="7"/>
  <c r="W26" i="7"/>
  <c r="U31" i="7"/>
  <c r="U11" i="7"/>
  <c r="W18" i="7"/>
  <c r="S8" i="7"/>
  <c r="S13" i="7"/>
  <c r="S36" i="7"/>
  <c r="S34" i="7"/>
  <c r="W15" i="7"/>
  <c r="U30" i="7"/>
  <c r="U9" i="7"/>
  <c r="U39" i="7"/>
  <c r="W9" i="7"/>
  <c r="W38" i="7"/>
  <c r="U23" i="7"/>
  <c r="W22" i="7"/>
  <c r="S39" i="7"/>
  <c r="S37" i="7"/>
  <c r="S20" i="7"/>
  <c r="U13" i="7"/>
  <c r="W35" i="7"/>
  <c r="W28" i="7"/>
  <c r="W30" i="7"/>
  <c r="W29" i="7"/>
  <c r="W33" i="7"/>
  <c r="W19" i="7"/>
  <c r="U15" i="7"/>
  <c r="S30" i="7"/>
  <c r="S31" i="7"/>
  <c r="S35" i="7"/>
  <c r="W16" i="7"/>
  <c r="U35" i="7"/>
  <c r="W13" i="7"/>
  <c r="W34" i="7"/>
  <c r="U28" i="7"/>
  <c r="W25" i="7"/>
  <c r="U16" i="7"/>
  <c r="U18" i="7"/>
  <c r="S10" i="7"/>
  <c r="S26" i="7"/>
  <c r="S14" i="7"/>
  <c r="U14" i="7"/>
  <c r="U12" i="7"/>
  <c r="U25" i="7"/>
  <c r="U36" i="7"/>
  <c r="W10" i="7"/>
  <c r="W32" i="7"/>
  <c r="U19" i="7"/>
  <c r="W23" i="7"/>
  <c r="S33" i="7"/>
  <c r="S28" i="7"/>
  <c r="S15" i="7"/>
  <c r="U32" i="7"/>
  <c r="U29" i="7"/>
  <c r="W17" i="7"/>
  <c r="W27" i="7"/>
  <c r="U26" i="7"/>
  <c r="U38" i="7"/>
  <c r="U24" i="7"/>
  <c r="W20" i="7"/>
  <c r="S38" i="7"/>
  <c r="S23" i="7"/>
  <c r="S16" i="7"/>
  <c r="S6" i="7"/>
  <c r="W37" i="7"/>
  <c r="U27" i="7"/>
  <c r="W12" i="7"/>
  <c r="U8" i="7"/>
  <c r="U37" i="7"/>
  <c r="W21" i="7"/>
  <c r="U20" i="7"/>
  <c r="M20" i="7" l="1"/>
  <c r="Q21" i="7"/>
  <c r="M37" i="7"/>
  <c r="M8" i="7"/>
  <c r="Q12" i="7"/>
  <c r="M27" i="7"/>
  <c r="Q37" i="7"/>
  <c r="I6" i="7"/>
  <c r="I16" i="7"/>
  <c r="I23" i="7"/>
  <c r="I38" i="7"/>
  <c r="Q20" i="7"/>
  <c r="M24" i="7"/>
  <c r="M38" i="7"/>
  <c r="M26" i="7"/>
  <c r="Q27" i="7"/>
  <c r="Q17" i="7"/>
  <c r="M29" i="7"/>
  <c r="M32" i="7"/>
  <c r="I15" i="7"/>
  <c r="I28" i="7"/>
  <c r="I33" i="7"/>
  <c r="Q23" i="7"/>
  <c r="M19" i="7"/>
  <c r="Q32" i="7"/>
  <c r="Q10" i="7"/>
  <c r="M36" i="7"/>
  <c r="M25" i="7"/>
  <c r="M12" i="7"/>
  <c r="M14" i="7"/>
  <c r="I14" i="7"/>
  <c r="I26" i="7"/>
  <c r="I10" i="7"/>
  <c r="M18" i="7"/>
  <c r="M16" i="7"/>
  <c r="Q25" i="7"/>
  <c r="M28" i="7"/>
  <c r="Q34" i="7"/>
  <c r="Q13" i="7"/>
  <c r="M35" i="7"/>
  <c r="Q16" i="7"/>
  <c r="I35" i="7"/>
  <c r="I31" i="7"/>
  <c r="I30" i="7"/>
  <c r="M15" i="7"/>
  <c r="Q19" i="7"/>
  <c r="Q33" i="7"/>
  <c r="Q29" i="7"/>
  <c r="Q30" i="7"/>
  <c r="Q28" i="7"/>
  <c r="Q35" i="7"/>
  <c r="M13" i="7"/>
  <c r="I20" i="7"/>
  <c r="I37" i="7"/>
  <c r="I39" i="7"/>
  <c r="Q22" i="7"/>
  <c r="M23" i="7"/>
  <c r="Q38" i="7"/>
  <c r="Q9" i="7"/>
  <c r="M39" i="7"/>
  <c r="M9" i="7"/>
  <c r="M30" i="7"/>
  <c r="Q15" i="7"/>
  <c r="I34" i="7"/>
  <c r="I36" i="7"/>
  <c r="I13" i="7"/>
  <c r="I8" i="7"/>
  <c r="Q18" i="7"/>
  <c r="M11" i="7"/>
  <c r="M31" i="7"/>
  <c r="Q26" i="7"/>
  <c r="Q39" i="7"/>
  <c r="Q36" i="7"/>
  <c r="M34" i="7"/>
  <c r="I11" i="7"/>
  <c r="I17" i="7"/>
  <c r="I27" i="7"/>
  <c r="I32" i="7"/>
  <c r="I7" i="7"/>
  <c r="M17" i="7"/>
  <c r="M33" i="7"/>
  <c r="M10" i="7"/>
  <c r="Q8" i="7"/>
  <c r="Q14" i="7"/>
  <c r="Q11" i="7"/>
  <c r="Q31" i="7"/>
  <c r="I9" i="7"/>
  <c r="I25" i="7"/>
  <c r="I12" i="7"/>
  <c r="I29" i="7"/>
  <c r="V20" i="7"/>
  <c r="T16" i="7"/>
  <c r="X17" i="7"/>
  <c r="X32" i="7"/>
  <c r="T10" i="7"/>
  <c r="X16" i="7"/>
  <c r="X30" i="7"/>
  <c r="V23" i="7"/>
  <c r="T36" i="7"/>
  <c r="X36" i="7"/>
  <c r="V33" i="7"/>
  <c r="T12" i="7"/>
  <c r="X21" i="7"/>
  <c r="T23" i="7"/>
  <c r="V29" i="7"/>
  <c r="X10" i="7"/>
  <c r="V18" i="7"/>
  <c r="T35" i="7"/>
  <c r="X28" i="7"/>
  <c r="X38" i="7"/>
  <c r="T13" i="7"/>
  <c r="V34" i="7"/>
  <c r="V10" i="7"/>
  <c r="T29" i="7"/>
  <c r="V37" i="7"/>
  <c r="T38" i="7"/>
  <c r="V32" i="7"/>
  <c r="V36" i="7"/>
  <c r="V16" i="7"/>
  <c r="T31" i="7"/>
  <c r="X35" i="7"/>
  <c r="X9" i="7"/>
  <c r="T8" i="7"/>
  <c r="T11" i="7"/>
  <c r="X8" i="7"/>
  <c r="V8" i="7"/>
  <c r="X20" i="7"/>
  <c r="T15" i="7"/>
  <c r="V25" i="7"/>
  <c r="X25" i="7"/>
  <c r="T30" i="7"/>
  <c r="V13" i="7"/>
  <c r="V39" i="7"/>
  <c r="X18" i="7"/>
  <c r="T17" i="7"/>
  <c r="X14" i="7"/>
  <c r="X12" i="7"/>
  <c r="V24" i="7"/>
  <c r="T28" i="7"/>
  <c r="V12" i="7"/>
  <c r="V28" i="7"/>
  <c r="V15" i="7"/>
  <c r="T20" i="7"/>
  <c r="V9" i="7"/>
  <c r="V11" i="7"/>
  <c r="T27" i="7"/>
  <c r="X11" i="7"/>
  <c r="V27" i="7"/>
  <c r="V38" i="7"/>
  <c r="T33" i="7"/>
  <c r="V14" i="7"/>
  <c r="X34" i="7"/>
  <c r="X19" i="7"/>
  <c r="T37" i="7"/>
  <c r="V30" i="7"/>
  <c r="V31" i="7"/>
  <c r="T32" i="7"/>
  <c r="X31" i="7"/>
  <c r="X37" i="7"/>
  <c r="V26" i="7"/>
  <c r="X23" i="7"/>
  <c r="T14" i="7"/>
  <c r="X13" i="7"/>
  <c r="X33" i="7"/>
  <c r="T39" i="7"/>
  <c r="X15" i="7"/>
  <c r="X26" i="7"/>
  <c r="T7" i="7"/>
  <c r="T9" i="7"/>
  <c r="T6" i="7"/>
  <c r="X27" i="7"/>
  <c r="V19" i="7"/>
  <c r="T26" i="7"/>
  <c r="V35" i="7"/>
  <c r="X29" i="7"/>
  <c r="X22" i="7"/>
  <c r="T34" i="7"/>
  <c r="X39" i="7"/>
  <c r="V17" i="7"/>
  <c r="T25" i="7"/>
  <c r="I7" i="11" l="1"/>
  <c r="I6" i="11"/>
  <c r="P7" i="7"/>
  <c r="P6" i="7"/>
  <c r="W6" i="7"/>
  <c r="W7" i="7"/>
  <c r="Q7" i="7"/>
  <c r="Q6" i="7"/>
  <c r="X7" i="7"/>
  <c r="X6" i="7"/>
  <c r="M6" i="10"/>
  <c r="I7" i="10"/>
  <c r="I6" i="10"/>
  <c r="L7" i="7"/>
  <c r="L6" i="7"/>
  <c r="U7" i="7"/>
  <c r="U6" i="7"/>
  <c r="M6" i="7"/>
  <c r="M7" i="7"/>
  <c r="V6" i="7"/>
  <c r="V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<sst xmlns="http://schemas.openxmlformats.org/spreadsheetml/2006/main" count="530" uniqueCount="136">
  <si>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</si>
  <si>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</si>
  <si>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</si>
  <si>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</si>
  <si>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</si>
  <si>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</si>
  <si>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</si>
  <si>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</si>
  <si>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</si>
  <si>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</si>
  <si>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</si>
  <si>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</si>
  <si>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</si>
  <si>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</si>
  <si>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</si>
  <si>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</si>
  <si>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</si>
  <si>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</si>
  <si>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</si>
  <si>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</si>
  <si>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</si>
  <si>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</si>
  <si>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</si>
  <si>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</si>
  <si>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</si>
  <si>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</si>
  <si>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</si>
  <si>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</si>
  <si>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</si>
  <si>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</si>
  <si>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</si>
  <si>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</si>
  <si>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</si>
  <si>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</si>
  <si>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</si>
  <si>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</si>
  <si>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</si>
  <si>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</si>
  <si>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</si>
  <si>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</si>
  <si>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</si>
  <si>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</si>
  <si>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</si>
  <si>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</si>
  <si>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</si>
  <si>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</si>
  <si>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</si>
  <si>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</si>
  <si>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</si>
  <si>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</si>
  <si>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</si>
  <si>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</si>
  <si>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</si>
  <si>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</si>
  <si>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</si>
  <si>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</si>
  <si>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</si>
  <si>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</si>
  <si>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</si>
  <si>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</si>
  <si>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</si>
  <si>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</si>
  <si>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</si>
  <si>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</si>
  <si>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</si>
  <si>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</si>
  <si>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</si>
  <si>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</si>
  <si>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</si>
  <si>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</si>
  <si>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</si>
  <si>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</si>
  <si>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</si>
  <si>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</si>
  <si>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</si>
  <si>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</si>
  <si>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</si>
  <si>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</si>
  <si>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</si>
  <si>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</si>
  <si>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</si>
  <si>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</si>
  <si>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</si>
  <si>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</si>
  <si>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</si>
  <si>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</si>
  <si>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</si>
  <si>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</si>
  <si>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</si>
  <si>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</si>
  <si>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</si>
  <si>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</si>
  <si>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</si>
  <si>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</si>
  <si>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</si>
  <si>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</si>
  <si>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</si>
  <si>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</si>
  <si>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</si>
  <si>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</si>
  <si>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</si>
  <si>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</si>
  <si>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</si>
  <si>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</si>
  <si>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</si>
  <si>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</si>
  <si>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</si>
  <si>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</si>
  <si>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</si>
  <si>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</si>
  <si>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</si>
  <si>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</si>
  <si>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</si>
  <si>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</si>
  <si>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</si>
  <si>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</si>
  <si>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</si>
  <si>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</si>
  <si>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</si>
  <si>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</si>
  <si>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</si>
  <si>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</si>
  <si>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</si>
  <si>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</si>
  <si>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</si>
  <si>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</si>
  <si>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</si>
  <si>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</si>
  <si>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</si>
  <si>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</si>
  <si>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</si>
  <si>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</si>
  <si>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</si>
  <si>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</si>
  <si>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</si>
  <si>
    <t>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</si>
</sst>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3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21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X5</v>
          </cell>
        </row>
      </sheetData>
      <sheetData sheetId="10">
        <row r="7">
          <cell r="D7" t="str">
            <v>X5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4" customWidth="1"/>
    <col min="3" max="3" width="21.42578125" style="124" bestFit="1" customWidth="1"/>
    <col min="4" max="4" width="28.5703125" style="124" bestFit="1" customWidth="1"/>
    <col min="5" max="5" width="2.7109375" style="124" customWidth="1"/>
    <col min="6" max="6" width="3.42578125" style="124" customWidth="1"/>
    <col min="7" max="16384" width="9.140625" style="124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2"/>
      <c r="B2" s="137" t="s">
        <v>4</v>
      </c>
      <c r="C2" s="138"/>
      <c r="D2" s="138"/>
      <c r="E2" s="123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s="13" customFormat="1" ht="11.25" x14ac:dyDescent="0.2">
      <c r="A3" s="2"/>
      <c r="B3" s="125"/>
      <c r="C3" s="126"/>
      <c r="D3" s="126"/>
      <c r="E3" s="12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5"/>
      <c r="C4" s="140" t="s">
        <v>5</v>
      </c>
      <c r="D4" s="128">
        <v>42264.69027777778</v>
      </c>
      <c r="E4" s="1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5"/>
      <c r="C5" s="140" t="s">
        <v>13</v>
      </c>
      <c r="D5" s="128">
        <f>_xll.qlCalendarAdjust(Calendar,_xll.qlSettingsEvaluationDate(Trigger))</f>
        <v>42265</v>
      </c>
      <c r="E5" s="12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5"/>
      <c r="C6" s="141" t="s">
        <v>100</v>
      </c>
      <c r="D6" s="129">
        <f>[1]!TriggerCounter</f>
        <v>21</v>
      </c>
      <c r="E6" s="12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0"/>
      <c r="C7" s="131"/>
      <c r="D7" s="131"/>
      <c r="E7" s="13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6.5" x14ac:dyDescent="0.3">
      <c r="A9" s="122"/>
      <c r="B9" s="137" t="s">
        <v>3</v>
      </c>
      <c r="C9" s="138"/>
      <c r="D9" s="138"/>
      <c r="E9" s="139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s="13" customFormat="1" ht="11.25" x14ac:dyDescent="0.2">
      <c r="A10" s="2"/>
      <c r="B10" s="125"/>
      <c r="C10" s="126"/>
      <c r="D10" s="126"/>
      <c r="E10" s="12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5"/>
      <c r="C11" s="140" t="s">
        <v>6</v>
      </c>
      <c r="D11" s="133" t="s">
        <v>14</v>
      </c>
      <c r="E11" s="1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5"/>
      <c r="C12" s="140" t="s">
        <v>12</v>
      </c>
      <c r="D12" s="134" t="str">
        <f>PROPER(Currency)&amp;IF(UPPER(Currency)="EUR","","L")&amp;"ibor"</f>
        <v>JpyLibor</v>
      </c>
      <c r="E12" s="1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5"/>
      <c r="C13" s="140" t="s">
        <v>17</v>
      </c>
      <c r="D13" s="134" t="s">
        <v>18</v>
      </c>
      <c r="E13" s="1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5"/>
      <c r="C14" s="140" t="s">
        <v>10</v>
      </c>
      <c r="D14" s="135">
        <f>_xll.qlInterestRateIndexFixingDays(IborIndexFamily&amp;D13)</f>
        <v>2</v>
      </c>
      <c r="E14" s="1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5"/>
      <c r="C15" s="140" t="s">
        <v>115</v>
      </c>
      <c r="D15" s="134" t="s">
        <v>16</v>
      </c>
      <c r="E15" s="1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5"/>
      <c r="C16" s="140" t="s">
        <v>116</v>
      </c>
      <c r="D16" s="134" t="s">
        <v>15</v>
      </c>
      <c r="E16" s="1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5"/>
      <c r="C17" s="140" t="s">
        <v>114</v>
      </c>
      <c r="D17" s="134" t="b">
        <f>_xll.qlCalendarIsHoliday(LocalCalendar,_xll.qlCalendarAdvance(LiborCalendar,_xll.qlSettingsEvaluationDate(Trigger),SettlementDays&amp;"D","f",FALSE,Trigger))</f>
        <v>1</v>
      </c>
      <c r="E17" s="1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5"/>
      <c r="C18" s="140" t="s">
        <v>7</v>
      </c>
      <c r="D18" s="134" t="str">
        <f>IF(D17,LocalCalendar,LiborCalendar)</f>
        <v>Japan</v>
      </c>
      <c r="E18" s="1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5"/>
      <c r="C19" s="141" t="s">
        <v>11</v>
      </c>
      <c r="D19" s="136">
        <f>_xll.qlCalendarAdvance(Calendar,EvaluationDate,SettlementDays&amp;"d","following",FALSE)</f>
        <v>42272</v>
      </c>
      <c r="E19" s="1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5"/>
      <c r="C20" s="141" t="s">
        <v>88</v>
      </c>
      <c r="D20" s="136" t="s">
        <v>89</v>
      </c>
      <c r="E20" s="1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0"/>
      <c r="C21" s="131"/>
      <c r="D21" s="131"/>
      <c r="E21" s="13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x14ac:dyDescent="0.25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x14ac:dyDescent="0.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x14ac:dyDescent="0.25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x14ac:dyDescent="0.25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x14ac:dyDescent="0.25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x14ac:dyDescent="0.25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x14ac:dyDescent="0.25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x14ac:dyDescent="0.2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x14ac:dyDescent="0.25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x14ac:dyDescent="0.25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x14ac:dyDescent="0.25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x14ac:dyDescent="0.25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x14ac:dyDescent="0.2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x14ac:dyDescent="0.25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x14ac:dyDescent="0.25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x14ac:dyDescent="0.25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x14ac:dyDescent="0.25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x14ac:dyDescent="0.25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x14ac:dyDescent="0.25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x14ac:dyDescent="0.25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x14ac:dyDescent="0.25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x14ac:dyDescent="0.25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x14ac:dyDescent="0.2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x14ac:dyDescent="0.25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x14ac:dyDescent="0.25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x14ac:dyDescent="0.25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x14ac:dyDescent="0.25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x14ac:dyDescent="0.25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x14ac:dyDescent="0.25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x14ac:dyDescent="0.2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x14ac:dyDescent="0.25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x14ac:dyDescent="0.2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x14ac:dyDescent="0.25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x14ac:dyDescent="0.25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x14ac:dyDescent="0.25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x14ac:dyDescent="0.25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x14ac:dyDescent="0.25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x14ac:dyDescent="0.25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x14ac:dyDescent="0.25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x14ac:dyDescent="0.25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x14ac:dyDescent="0.2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x14ac:dyDescent="0.25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x14ac:dyDescent="0.25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x14ac:dyDescent="0.25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x14ac:dyDescent="0.25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x14ac:dyDescent="0.25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x14ac:dyDescent="0.25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x14ac:dyDescent="0.25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x14ac:dyDescent="0.25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x14ac:dyDescent="0.25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x14ac:dyDescent="0.2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x14ac:dyDescent="0.25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x14ac:dyDescent="0.25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x14ac:dyDescent="0.25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x14ac:dyDescent="0.25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x14ac:dyDescent="0.25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x14ac:dyDescent="0.25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x14ac:dyDescent="0.25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x14ac:dyDescent="0.25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x14ac:dyDescent="0.25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x14ac:dyDescent="0.2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x14ac:dyDescent="0.25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x14ac:dyDescent="0.25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x14ac:dyDescent="0.25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x14ac:dyDescent="0.25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x14ac:dyDescent="0.25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</sheetData>
  <protectedRanges>
    <protectedRange sqref="D5" name="Range3"/>
    <protectedRange sqref="D6" name="Range2"/>
    <protectedRange sqref="D4" name="Range1"/>
  </protectedRanges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10" width="7" style="1" bestFit="1" customWidth="1"/>
    <col min="11" max="11" width="13.140625" style="5" bestFit="1" customWidth="1"/>
    <col min="12" max="12" width="7" style="5" bestFit="1" customWidth="1"/>
    <col min="13" max="13" width="7" style="1" bestFit="1" customWidth="1"/>
    <col min="14" max="14" width="6" style="1" bestFit="1" customWidth="1"/>
    <col min="15" max="15" width="12" style="1" bestFit="1" customWidth="1"/>
    <col min="16" max="17" width="7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7"/>
      <c r="D2" s="2"/>
      <c r="E2" s="2"/>
      <c r="F2" s="2"/>
      <c r="G2" s="28" t="s">
        <v>2</v>
      </c>
      <c r="H2" s="28">
        <v>0</v>
      </c>
      <c r="I2" s="73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1"/>
      <c r="B3" s="72"/>
      <c r="C3" s="6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4" t="s">
        <v>8</v>
      </c>
      <c r="B4" s="55"/>
      <c r="C4" s="55"/>
      <c r="D4" s="56"/>
      <c r="E4" s="2" t="s">
        <v>103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2"/>
      <c r="U4" s="15" t="s">
        <v>27</v>
      </c>
      <c r="V4" s="142"/>
      <c r="W4" s="15" t="s">
        <v>18</v>
      </c>
      <c r="X4" s="142"/>
      <c r="Y4" s="65" t="s">
        <v>103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59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103</v>
      </c>
      <c r="F5" s="31" t="s">
        <v>96</v>
      </c>
      <c r="G5" s="58" t="s">
        <v>97</v>
      </c>
      <c r="H5" s="31" t="s">
        <v>0</v>
      </c>
      <c r="I5" s="31" t="s">
        <v>1</v>
      </c>
      <c r="J5" s="31" t="s">
        <v>96</v>
      </c>
      <c r="K5" s="58" t="s">
        <v>97</v>
      </c>
      <c r="L5" s="31" t="s">
        <v>0</v>
      </c>
      <c r="M5" s="31" t="s">
        <v>1</v>
      </c>
      <c r="N5" s="31" t="s">
        <v>96</v>
      </c>
      <c r="O5" s="58" t="s">
        <v>97</v>
      </c>
      <c r="P5" s="31" t="s">
        <v>0</v>
      </c>
      <c r="Q5" s="31" t="s">
        <v>1</v>
      </c>
      <c r="R5" s="2"/>
      <c r="S5" s="31" t="s">
        <v>104</v>
      </c>
      <c r="T5" s="31" t="s">
        <v>105</v>
      </c>
      <c r="U5" s="31" t="s">
        <v>104</v>
      </c>
      <c r="V5" s="31" t="s">
        <v>105</v>
      </c>
      <c r="W5" s="31" t="s">
        <v>104</v>
      </c>
      <c r="X5" s="31" t="s">
        <v>105</v>
      </c>
      <c r="Y5" s="66" t="s">
        <v>103</v>
      </c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103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7.4892723281723889E-2</v>
      </c>
      <c r="I6" s="17">
        <f>H6</f>
        <v>7.4892723281723889E-2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7.6504914252849082E-2</v>
      </c>
      <c r="M6" s="17">
        <f>L6</f>
        <v>7.6504914252849082E-2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0.11165755591705359</v>
      </c>
      <c r="Q6" s="17">
        <f>P6</f>
        <v>0.11165755591705359</v>
      </c>
      <c r="R6" s="2"/>
      <c r="S6" s="17" t="e">
        <f>ABS(_xll.RtGet(SourceAlias,$G6,BID)-H6)</f>
        <v>#VALUE!</v>
      </c>
      <c r="T6" s="17" t="e">
        <f>ABS(_xll.RtGet(SourceAlias,$G6,ASK)-I6)</f>
        <v>#VALUE!</v>
      </c>
      <c r="U6" s="17" t="e">
        <f>ABS(_xll.RtGet(SourceAlias,$K6,BID)-L6)</f>
        <v>#VALUE!</v>
      </c>
      <c r="V6" s="17" t="e">
        <f>ABS(_xll.RtGet(SourceAlias,$K6,ASK)-M6)</f>
        <v>#VALUE!</v>
      </c>
      <c r="W6" s="17" t="e">
        <f>ABS(_xll.RtGet(SourceAlias,$O6,BID)-P6)</f>
        <v>#VALUE!</v>
      </c>
      <c r="X6" s="17" t="e">
        <f>ABS(_xll.RtGet(SourceAlias,$O6,ASK)-Q6)</f>
        <v>#VALUE!</v>
      </c>
      <c r="Y6" s="65" t="s">
        <v>103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103</v>
      </c>
      <c r="F7" s="24" t="s">
        <v>59</v>
      </c>
      <c r="G7" s="18" t="str">
        <f t="shared" si="0"/>
        <v>JPYONTND=</v>
      </c>
      <c r="H7" s="19">
        <f>'ON Pricing'!I7*100</f>
        <v>7.4765873973592356E-2</v>
      </c>
      <c r="I7" s="19">
        <f t="shared" ref="I7:I39" si="3">H7</f>
        <v>7.4765873973592356E-2</v>
      </c>
      <c r="J7" s="24" t="s">
        <v>59</v>
      </c>
      <c r="K7" s="18" t="str">
        <f t="shared" si="1"/>
        <v>JPY3MTND=</v>
      </c>
      <c r="L7" s="19">
        <f>'3M Pricing'!I7*100</f>
        <v>7.6499970448143106E-2</v>
      </c>
      <c r="M7" s="19">
        <f t="shared" ref="M7:M39" si="4">L7</f>
        <v>7.6499970448143106E-2</v>
      </c>
      <c r="N7" s="24" t="s">
        <v>59</v>
      </c>
      <c r="O7" s="18" t="str">
        <f t="shared" si="2"/>
        <v>JPY6MTND=</v>
      </c>
      <c r="P7" s="19">
        <f>'6M Pricing'!I7*100</f>
        <v>0.11167035997863908</v>
      </c>
      <c r="Q7" s="19">
        <f t="shared" ref="Q7:Q39" si="5">P7</f>
        <v>0.11167035997863908</v>
      </c>
      <c r="R7" s="2"/>
      <c r="S7" s="19" t="e">
        <f>ABS(_xll.RtGet(SourceAlias,$G7,BID)-H7)</f>
        <v>#VALUE!</v>
      </c>
      <c r="T7" s="19" t="e">
        <f>ABS(_xll.RtGet(SourceAlias,$G7,ASK)-I7)</f>
        <v>#VALUE!</v>
      </c>
      <c r="U7" s="19" t="e">
        <f>ABS(_xll.RtGet(SourceAlias,$K7,BID)-L7)</f>
        <v>#VALUE!</v>
      </c>
      <c r="V7" s="19" t="e">
        <f>ABS(_xll.RtGet(SourceAlias,$K7,ASK)-M7)</f>
        <v>#VALUE!</v>
      </c>
      <c r="W7" s="19" t="e">
        <f>ABS(_xll.RtGet(SourceAlias,$O7,BID)-P7)</f>
        <v>#VALUE!</v>
      </c>
      <c r="X7" s="19" t="e">
        <f>ABS(_xll.RtGet(SourceAlias,$O7,ASK)-Q7)</f>
        <v>#VALUE!</v>
      </c>
      <c r="Y7" s="65" t="s">
        <v>103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103</v>
      </c>
      <c r="F8" s="25" t="s">
        <v>60</v>
      </c>
      <c r="G8" s="20" t="str">
        <f t="shared" si="0"/>
        <v>JPYONSND=</v>
      </c>
      <c r="H8" s="21">
        <f>'ON Pricing'!I8*100</f>
        <v>7.4638171728998642E-2</v>
      </c>
      <c r="I8" s="21">
        <f t="shared" si="3"/>
        <v>7.4638171728998642E-2</v>
      </c>
      <c r="J8" s="25" t="s">
        <v>60</v>
      </c>
      <c r="K8" s="20" t="str">
        <f t="shared" si="1"/>
        <v>JPY3MSND=</v>
      </c>
      <c r="L8" s="21">
        <f>'3M Pricing'!I8*100</f>
        <v>7.6488808047336931E-2</v>
      </c>
      <c r="M8" s="21">
        <f t="shared" si="4"/>
        <v>7.6488808047336931E-2</v>
      </c>
      <c r="N8" s="25" t="s">
        <v>60</v>
      </c>
      <c r="O8" s="20" t="str">
        <f t="shared" si="2"/>
        <v>JPY6MSND=</v>
      </c>
      <c r="P8" s="21">
        <f>'6M Pricing'!I8*100</f>
        <v>0.11170005650562587</v>
      </c>
      <c r="Q8" s="21">
        <f t="shared" si="5"/>
        <v>0.11170005650562587</v>
      </c>
      <c r="R8" s="2"/>
      <c r="S8" s="21" t="e">
        <f>ABS(_xll.RtGet(SourceAlias,$G8,BID)-H8)</f>
        <v>#VALUE!</v>
      </c>
      <c r="T8" s="21" t="e">
        <f>ABS(_xll.RtGet(SourceAlias,$G8,ASK)-I8)</f>
        <v>#VALUE!</v>
      </c>
      <c r="U8" s="21" t="e">
        <f>ABS(_xll.RtGet(SourceAlias,$K8,BID)-L8)</f>
        <v>#VALUE!</v>
      </c>
      <c r="V8" s="21" t="e">
        <f>ABS(_xll.RtGet(SourceAlias,$K8,ASK)-M8)</f>
        <v>#VALUE!</v>
      </c>
      <c r="W8" s="21" t="e">
        <f>ABS(_xll.RtGet(SourceAlias,$O8,BID)-P8)</f>
        <v>#VALUE!</v>
      </c>
      <c r="X8" s="21" t="e">
        <f>ABS(_xll.RtGet(SourceAlias,$O8,ASK)-Q8)</f>
        <v>#VALUE!</v>
      </c>
      <c r="Y8" s="65" t="s">
        <v>103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103</v>
      </c>
      <c r="F9" s="24" t="s">
        <v>61</v>
      </c>
      <c r="G9" s="18" t="str">
        <f t="shared" si="0"/>
        <v>JPYONSWD=</v>
      </c>
      <c r="H9" s="19">
        <f>'ON Pricing'!I9*100</f>
        <v>7.3446064517059192E-2</v>
      </c>
      <c r="I9" s="19">
        <f t="shared" si="3"/>
        <v>7.3446064517059192E-2</v>
      </c>
      <c r="J9" s="24" t="s">
        <v>61</v>
      </c>
      <c r="K9" s="18" t="str">
        <f t="shared" si="1"/>
        <v>JPY3MSWD=</v>
      </c>
      <c r="L9" s="19">
        <f>'3M Pricing'!I9*100</f>
        <v>7.6472701841824781E-2</v>
      </c>
      <c r="M9" s="19">
        <f t="shared" si="4"/>
        <v>7.6472701841824781E-2</v>
      </c>
      <c r="N9" s="24" t="s">
        <v>61</v>
      </c>
      <c r="O9" s="18" t="str">
        <f t="shared" si="2"/>
        <v>JPY6MSWD=</v>
      </c>
      <c r="P9" s="19">
        <f>'6M Pricing'!I9*100</f>
        <v>0.11174255709419814</v>
      </c>
      <c r="Q9" s="19">
        <f t="shared" si="5"/>
        <v>0.11174255709419814</v>
      </c>
      <c r="R9" s="2"/>
      <c r="S9" s="19" t="e">
        <f>ABS(_xll.RtGet(SourceAlias,$G9,BID)-H9)</f>
        <v>#VALUE!</v>
      </c>
      <c r="T9" s="19" t="e">
        <f>ABS(_xll.RtGet(SourceAlias,$G9,ASK)-I9)</f>
        <v>#VALUE!</v>
      </c>
      <c r="U9" s="19" t="e">
        <f>ABS(_xll.RtGet(SourceAlias,$K9,BID)-L9)</f>
        <v>#VALUE!</v>
      </c>
      <c r="V9" s="19" t="e">
        <f>ABS(_xll.RtGet(SourceAlias,$K9,ASK)-M9)</f>
        <v>#VALUE!</v>
      </c>
      <c r="W9" s="19" t="e">
        <f>ABS(_xll.RtGet(SourceAlias,$O9,BID)-P9)</f>
        <v>#VALUE!</v>
      </c>
      <c r="X9" s="19" t="e">
        <f>ABS(_xll.RtGet(SourceAlias,$O9,ASK)-Q9)</f>
        <v>#VALUE!</v>
      </c>
      <c r="Y9" s="65" t="s">
        <v>103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103</v>
      </c>
      <c r="F10" s="24" t="s">
        <v>62</v>
      </c>
      <c r="G10" s="18" t="str">
        <f t="shared" si="0"/>
        <v>JPYON2WD=</v>
      </c>
      <c r="H10" s="19">
        <f>'ON Pricing'!I10*100</f>
        <v>7.3043595610286116E-2</v>
      </c>
      <c r="I10" s="19">
        <f t="shared" si="3"/>
        <v>7.3043595610286116E-2</v>
      </c>
      <c r="J10" s="24" t="s">
        <v>62</v>
      </c>
      <c r="K10" s="18" t="str">
        <f t="shared" si="1"/>
        <v>JPY3M2WD=</v>
      </c>
      <c r="L10" s="19">
        <f>'3M Pricing'!I10*100</f>
        <v>7.6412884714573331E-2</v>
      </c>
      <c r="M10" s="19">
        <f t="shared" si="4"/>
        <v>7.6412884714573331E-2</v>
      </c>
      <c r="N10" s="24" t="s">
        <v>62</v>
      </c>
      <c r="O10" s="18" t="str">
        <f t="shared" si="2"/>
        <v>JPY6M2WD=</v>
      </c>
      <c r="P10" s="19">
        <f>'6M Pricing'!I10*100</f>
        <v>0.11189741668106631</v>
      </c>
      <c r="Q10" s="19">
        <f t="shared" si="5"/>
        <v>0.11189741668106631</v>
      </c>
      <c r="R10" s="2"/>
      <c r="S10" s="19" t="e">
        <f>ABS(_xll.RtGet(SourceAlias,$G10,BID)-H10)</f>
        <v>#VALUE!</v>
      </c>
      <c r="T10" s="19" t="e">
        <f>ABS(_xll.RtGet(SourceAlias,$G10,ASK)-I10)</f>
        <v>#VALUE!</v>
      </c>
      <c r="U10" s="19" t="e">
        <f>ABS(_xll.RtGet(SourceAlias,$K10,BID)-L10)</f>
        <v>#VALUE!</v>
      </c>
      <c r="V10" s="19" t="e">
        <f>ABS(_xll.RtGet(SourceAlias,$K10,ASK)-M10)</f>
        <v>#VALUE!</v>
      </c>
      <c r="W10" s="19" t="e">
        <f>ABS(_xll.RtGet(SourceAlias,$O10,BID)-P10)</f>
        <v>#VALUE!</v>
      </c>
      <c r="X10" s="19" t="e">
        <f>ABS(_xll.RtGet(SourceAlias,$O10,ASK)-Q10)</f>
        <v>#VALUE!</v>
      </c>
      <c r="Y10" s="65" t="s">
        <v>103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103</v>
      </c>
      <c r="F11" s="24" t="s">
        <v>63</v>
      </c>
      <c r="G11" s="18" t="str">
        <f t="shared" si="0"/>
        <v>JPYON3WD=</v>
      </c>
      <c r="H11" s="19">
        <f>'ON Pricing'!I11*100</f>
        <v>7.2506782345398715E-2</v>
      </c>
      <c r="I11" s="19">
        <f t="shared" si="3"/>
        <v>7.2506782345398715E-2</v>
      </c>
      <c r="J11" s="24" t="s">
        <v>63</v>
      </c>
      <c r="K11" s="18" t="str">
        <f t="shared" si="1"/>
        <v>JPY3M3WD=</v>
      </c>
      <c r="L11" s="19">
        <f>'3M Pricing'!I11*100</f>
        <v>7.6312808077310432E-2</v>
      </c>
      <c r="M11" s="19">
        <f t="shared" si="4"/>
        <v>7.6312808077310432E-2</v>
      </c>
      <c r="N11" s="24" t="s">
        <v>63</v>
      </c>
      <c r="O11" s="18" t="str">
        <f t="shared" si="2"/>
        <v>JPY6M3WD=</v>
      </c>
      <c r="P11" s="19">
        <f>'6M Pricing'!I11*100</f>
        <v>0.11215471564453491</v>
      </c>
      <c r="Q11" s="19">
        <f t="shared" si="5"/>
        <v>0.11215471564453491</v>
      </c>
      <c r="R11" s="2"/>
      <c r="S11" s="19" t="e">
        <f>ABS(_xll.RtGet(SourceAlias,$G11,BID)-H11)</f>
        <v>#VALUE!</v>
      </c>
      <c r="T11" s="19" t="e">
        <f>ABS(_xll.RtGet(SourceAlias,$G11,ASK)-I11)</f>
        <v>#VALUE!</v>
      </c>
      <c r="U11" s="19" t="e">
        <f>ABS(_xll.RtGet(SourceAlias,$K11,BID)-L11)</f>
        <v>#VALUE!</v>
      </c>
      <c r="V11" s="19" t="e">
        <f>ABS(_xll.RtGet(SourceAlias,$K11,ASK)-M11)</f>
        <v>#VALUE!</v>
      </c>
      <c r="W11" s="19" t="e">
        <f>ABS(_xll.RtGet(SourceAlias,$O11,BID)-P11)</f>
        <v>#VALUE!</v>
      </c>
      <c r="X11" s="19" t="e">
        <f>ABS(_xll.RtGet(SourceAlias,$O11,ASK)-Q11)</f>
        <v>#VALUE!</v>
      </c>
      <c r="Y11" s="65" t="s">
        <v>103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103</v>
      </c>
      <c r="F12" s="24" t="s">
        <v>64</v>
      </c>
      <c r="G12" s="18" t="str">
        <f t="shared" si="0"/>
        <v>JPYON1MD=</v>
      </c>
      <c r="H12" s="19">
        <f>'ON Pricing'!I12*100</f>
        <v>7.1506849210383736E-2</v>
      </c>
      <c r="I12" s="19">
        <f t="shared" si="3"/>
        <v>7.1506849210383736E-2</v>
      </c>
      <c r="J12" s="24" t="s">
        <v>64</v>
      </c>
      <c r="K12" s="18" t="str">
        <f t="shared" si="1"/>
        <v>JPY3M1MD=</v>
      </c>
      <c r="L12" s="19">
        <f>'3M Pricing'!I12*100</f>
        <v>7.6100000000159457E-2</v>
      </c>
      <c r="M12" s="19">
        <f t="shared" si="4"/>
        <v>7.6100000000159457E-2</v>
      </c>
      <c r="N12" s="24" t="s">
        <v>64</v>
      </c>
      <c r="O12" s="18" t="str">
        <f t="shared" si="2"/>
        <v>JPY6M1MD=</v>
      </c>
      <c r="P12" s="19">
        <f>'6M Pricing'!I12*100</f>
        <v>0.1126999999999119</v>
      </c>
      <c r="Q12" s="19">
        <f t="shared" si="5"/>
        <v>0.1126999999999119</v>
      </c>
      <c r="R12" s="2"/>
      <c r="S12" s="19" t="e">
        <f>ABS(_xll.RtGet(SourceAlias,$G12,BID)-H12)</f>
        <v>#VALUE!</v>
      </c>
      <c r="T12" s="19" t="e">
        <f>ABS(_xll.RtGet(SourceAlias,$G12,ASK)-I12)</f>
        <v>#VALUE!</v>
      </c>
      <c r="U12" s="19" t="e">
        <f>ABS(_xll.RtGet(SourceAlias,$K12,BID)-L12)</f>
        <v>#VALUE!</v>
      </c>
      <c r="V12" s="19" t="e">
        <f>ABS(_xll.RtGet(SourceAlias,$K12,ASK)-M12)</f>
        <v>#VALUE!</v>
      </c>
      <c r="W12" s="19" t="e">
        <f>ABS(_xll.RtGet(SourceAlias,$O12,BID)-P12)</f>
        <v>#VALUE!</v>
      </c>
      <c r="X12" s="19" t="e">
        <f>ABS(_xll.RtGet(SourceAlias,$O12,ASK)-Q12)</f>
        <v>#VALUE!</v>
      </c>
      <c r="Y12" s="65" t="s">
        <v>103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103</v>
      </c>
      <c r="F13" s="24" t="s">
        <v>65</v>
      </c>
      <c r="G13" s="18" t="str">
        <f t="shared" si="0"/>
        <v>JPYON2MD=</v>
      </c>
      <c r="H13" s="19">
        <f>'ON Pricing'!I13*100</f>
        <v>6.9041096074687475E-2</v>
      </c>
      <c r="I13" s="19">
        <f t="shared" si="3"/>
        <v>6.9041096074687475E-2</v>
      </c>
      <c r="J13" s="24" t="s">
        <v>65</v>
      </c>
      <c r="K13" s="18" t="str">
        <f t="shared" si="1"/>
        <v>JPY3M2MD=</v>
      </c>
      <c r="L13" s="19">
        <f>'3M Pricing'!I13*100</f>
        <v>7.6500000001716584E-2</v>
      </c>
      <c r="M13" s="19">
        <f t="shared" si="4"/>
        <v>7.6500000001716584E-2</v>
      </c>
      <c r="N13" s="24" t="s">
        <v>65</v>
      </c>
      <c r="O13" s="18" t="str">
        <f t="shared" si="2"/>
        <v>JPY6M2MD=</v>
      </c>
      <c r="P13" s="19">
        <f>'6M Pricing'!I13*100</f>
        <v>0.11590000010735795</v>
      </c>
      <c r="Q13" s="19">
        <f t="shared" si="5"/>
        <v>0.11590000010735795</v>
      </c>
      <c r="R13" s="2"/>
      <c r="S13" s="19" t="e">
        <f>ABS(_xll.RtGet(SourceAlias,$G13,BID)-H13)</f>
        <v>#VALUE!</v>
      </c>
      <c r="T13" s="19" t="e">
        <f>ABS(_xll.RtGet(SourceAlias,$G13,ASK)-I13)</f>
        <v>#VALUE!</v>
      </c>
      <c r="U13" s="19" t="e">
        <f>ABS(_xll.RtGet(SourceAlias,$K13,BID)-L13)</f>
        <v>#VALUE!</v>
      </c>
      <c r="V13" s="19" t="e">
        <f>ABS(_xll.RtGet(SourceAlias,$K13,ASK)-M13)</f>
        <v>#VALUE!</v>
      </c>
      <c r="W13" s="19" t="e">
        <f>ABS(_xll.RtGet(SourceAlias,$O13,BID)-P13)</f>
        <v>#VALUE!</v>
      </c>
      <c r="X13" s="19" t="e">
        <f>ABS(_xll.RtGet(SourceAlias,$O13,ASK)-Q13)</f>
        <v>#VALUE!</v>
      </c>
      <c r="Y13" s="65" t="s">
        <v>103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103</v>
      </c>
      <c r="F14" s="24" t="s">
        <v>66</v>
      </c>
      <c r="G14" s="18" t="str">
        <f t="shared" si="0"/>
        <v>JPYON3MD=</v>
      </c>
      <c r="H14" s="19">
        <f>'ON Pricing'!I14*100</f>
        <v>6.9041096227150642E-2</v>
      </c>
      <c r="I14" s="19">
        <f t="shared" si="3"/>
        <v>6.9041096227150642E-2</v>
      </c>
      <c r="J14" s="24" t="s">
        <v>66</v>
      </c>
      <c r="K14" s="18" t="str">
        <f t="shared" si="1"/>
        <v>JPY3M3MD=</v>
      </c>
      <c r="L14" s="19">
        <f>'3M Pricing'!I14*100</f>
        <v>7.9130355932996665E-2</v>
      </c>
      <c r="M14" s="19">
        <f t="shared" si="4"/>
        <v>7.9130355932996665E-2</v>
      </c>
      <c r="N14" s="24" t="s">
        <v>66</v>
      </c>
      <c r="O14" s="18" t="str">
        <f t="shared" si="2"/>
        <v>JPY6M3MD=</v>
      </c>
      <c r="P14" s="19">
        <f>'6M Pricing'!I14*100</f>
        <v>0.12017900096068683</v>
      </c>
      <c r="Q14" s="19">
        <f t="shared" si="5"/>
        <v>0.12017900096068683</v>
      </c>
      <c r="R14" s="2"/>
      <c r="S14" s="19" t="e">
        <f>ABS(_xll.RtGet(SourceAlias,$G14,BID)-H14)</f>
        <v>#VALUE!</v>
      </c>
      <c r="T14" s="19" t="e">
        <f>ABS(_xll.RtGet(SourceAlias,$G14,ASK)-I14)</f>
        <v>#VALUE!</v>
      </c>
      <c r="U14" s="19" t="e">
        <f>ABS(_xll.RtGet(SourceAlias,$K14,BID)-L14)</f>
        <v>#VALUE!</v>
      </c>
      <c r="V14" s="19" t="e">
        <f>ABS(_xll.RtGet(SourceAlias,$K14,ASK)-M14)</f>
        <v>#VALUE!</v>
      </c>
      <c r="W14" s="19" t="e">
        <f>ABS(_xll.RtGet(SourceAlias,$O14,BID)-P14)</f>
        <v>#VALUE!</v>
      </c>
      <c r="X14" s="19" t="e">
        <f>ABS(_xll.RtGet(SourceAlias,$O14,ASK)-Q14)</f>
        <v>#VALUE!</v>
      </c>
      <c r="Y14" s="65" t="s">
        <v>103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103</v>
      </c>
      <c r="F15" s="24" t="s">
        <v>67</v>
      </c>
      <c r="G15" s="18" t="str">
        <f t="shared" si="0"/>
        <v>JPYON4MD=</v>
      </c>
      <c r="H15" s="19">
        <f>'ON Pricing'!I15*100</f>
        <v>6.6575342434075147E-2</v>
      </c>
      <c r="I15" s="19">
        <f t="shared" si="3"/>
        <v>6.6575342434075147E-2</v>
      </c>
      <c r="J15" s="24" t="s">
        <v>121</v>
      </c>
      <c r="K15" s="18" t="str">
        <f t="shared" si="1"/>
        <v>JPY3M1X4F=</v>
      </c>
      <c r="L15" s="19">
        <f>'3M Pricing'!I15*100</f>
        <v>7.9990463689305152E-2</v>
      </c>
      <c r="M15" s="19">
        <f t="shared" si="4"/>
        <v>7.9990463689305152E-2</v>
      </c>
      <c r="N15" s="24" t="s">
        <v>67</v>
      </c>
      <c r="O15" s="18" t="str">
        <f t="shared" si="2"/>
        <v>JPY6M4MD=</v>
      </c>
      <c r="P15" s="19">
        <f>'6M Pricing'!I15*100</f>
        <v>0.1209000000026548</v>
      </c>
      <c r="Q15" s="19">
        <f t="shared" si="5"/>
        <v>0.1209000000026548</v>
      </c>
      <c r="R15" s="2"/>
      <c r="S15" s="19" t="e">
        <f>ABS(_xll.RtGet(SourceAlias,$G15,BID)-H15)</f>
        <v>#VALUE!</v>
      </c>
      <c r="T15" s="19" t="e">
        <f>ABS(_xll.RtGet(SourceAlias,$G15,ASK)-I15)</f>
        <v>#VALUE!</v>
      </c>
      <c r="U15" s="19" t="e">
        <f>ABS(_xll.RtGet(SourceAlias,$K15,BID)-L15)</f>
        <v>#VALUE!</v>
      </c>
      <c r="V15" s="19" t="e">
        <f>ABS(_xll.RtGet(SourceAlias,$K15,ASK)-M15)</f>
        <v>#VALUE!</v>
      </c>
      <c r="W15" s="19" t="e">
        <f>ABS(_xll.RtGet(SourceAlias,$O15,BID)-P15)</f>
        <v>#VALUE!</v>
      </c>
      <c r="X15" s="19" t="e">
        <f>ABS(_xll.RtGet(SourceAlias,$O15,ASK)-Q15)</f>
        <v>#VALUE!</v>
      </c>
      <c r="Y15" s="65" t="s">
        <v>103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103</v>
      </c>
      <c r="F16" s="24" t="s">
        <v>68</v>
      </c>
      <c r="G16" s="18" t="str">
        <f t="shared" si="0"/>
        <v>JPYON5MD=</v>
      </c>
      <c r="H16" s="19">
        <f>'ON Pricing'!I16*100</f>
        <v>6.4109589019544042E-2</v>
      </c>
      <c r="I16" s="19">
        <f t="shared" si="3"/>
        <v>6.4109589019544042E-2</v>
      </c>
      <c r="J16" s="24" t="s">
        <v>122</v>
      </c>
      <c r="K16" s="18" t="str">
        <f t="shared" si="1"/>
        <v>JPY3M2X5F=</v>
      </c>
      <c r="L16" s="19">
        <f>'3M Pricing'!I16*100</f>
        <v>8.0008438225773068E-2</v>
      </c>
      <c r="M16" s="19">
        <f t="shared" si="4"/>
        <v>8.0008438225773068E-2</v>
      </c>
      <c r="N16" s="24" t="s">
        <v>68</v>
      </c>
      <c r="O16" s="18" t="str">
        <f t="shared" si="2"/>
        <v>JPY6M5MD=</v>
      </c>
      <c r="P16" s="19">
        <f>'6M Pricing'!I16*100</f>
        <v>0.12030000000000782</v>
      </c>
      <c r="Q16" s="19">
        <f t="shared" si="5"/>
        <v>0.12030000000000782</v>
      </c>
      <c r="R16" s="2"/>
      <c r="S16" s="19" t="e">
        <f>ABS(_xll.RtGet(SourceAlias,$G16,BID)-H16)</f>
        <v>#VALUE!</v>
      </c>
      <c r="T16" s="19" t="e">
        <f>ABS(_xll.RtGet(SourceAlias,$G16,ASK)-I16)</f>
        <v>#VALUE!</v>
      </c>
      <c r="U16" s="19" t="e">
        <f>ABS(_xll.RtGet(SourceAlias,$K16,BID)-L16)</f>
        <v>#VALUE!</v>
      </c>
      <c r="V16" s="19" t="e">
        <f>ABS(_xll.RtGet(SourceAlias,$K16,ASK)-M16)</f>
        <v>#VALUE!</v>
      </c>
      <c r="W16" s="19" t="e">
        <f>ABS(_xll.RtGet(SourceAlias,$O16,BID)-P16)</f>
        <v>#VALUE!</v>
      </c>
      <c r="X16" s="19" t="e">
        <f>ABS(_xll.RtGet(SourceAlias,$O16,ASK)-Q16)</f>
        <v>#VALUE!</v>
      </c>
      <c r="Y16" s="65" t="s">
        <v>103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103</v>
      </c>
      <c r="F17" s="24" t="s">
        <v>69</v>
      </c>
      <c r="G17" s="18" t="str">
        <f t="shared" si="0"/>
        <v>JPYON6MD=</v>
      </c>
      <c r="H17" s="19">
        <f>'ON Pricing'!I17*100</f>
        <v>6.4109589024244129E-2</v>
      </c>
      <c r="I17" s="19">
        <f t="shared" si="3"/>
        <v>6.4109589024244129E-2</v>
      </c>
      <c r="J17" s="24" t="s">
        <v>123</v>
      </c>
      <c r="K17" s="18" t="str">
        <f t="shared" si="1"/>
        <v>JPY3M3X6F=</v>
      </c>
      <c r="L17" s="19">
        <f>'3M Pricing'!I17*100</f>
        <v>7.9974841258445437E-2</v>
      </c>
      <c r="M17" s="19">
        <f t="shared" si="4"/>
        <v>7.9974841258445437E-2</v>
      </c>
      <c r="N17" s="24" t="s">
        <v>69</v>
      </c>
      <c r="O17" s="18" t="str">
        <f t="shared" si="2"/>
        <v>JPY6M6MD=</v>
      </c>
      <c r="P17" s="19">
        <f>'6M Pricing'!I17*100</f>
        <v>0.12073724655096849</v>
      </c>
      <c r="Q17" s="19">
        <f t="shared" si="5"/>
        <v>0.12073724655096849</v>
      </c>
      <c r="R17" s="2"/>
      <c r="S17" s="19" t="e">
        <f>ABS(_xll.RtGet(SourceAlias,$G17,BID)-H17)</f>
        <v>#VALUE!</v>
      </c>
      <c r="T17" s="19" t="e">
        <f>ABS(_xll.RtGet(SourceAlias,$G17,ASK)-I17)</f>
        <v>#VALUE!</v>
      </c>
      <c r="U17" s="19" t="e">
        <f>ABS(_xll.RtGet(SourceAlias,$K17,BID)-L17)</f>
        <v>#VALUE!</v>
      </c>
      <c r="V17" s="19" t="e">
        <f>ABS(_xll.RtGet(SourceAlias,$K17,ASK)-M17)</f>
        <v>#VALUE!</v>
      </c>
      <c r="W17" s="19" t="e">
        <f>ABS(_xll.RtGet(SourceAlias,$O17,BID)-P17)</f>
        <v>#VALUE!</v>
      </c>
      <c r="X17" s="19" t="e">
        <f>ABS(_xll.RtGet(SourceAlias,$O17,ASK)-Q17)</f>
        <v>#VALUE!</v>
      </c>
      <c r="Y17" s="65" t="s">
        <v>103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103</v>
      </c>
      <c r="F18" s="24"/>
      <c r="G18" s="18"/>
      <c r="H18" s="19"/>
      <c r="I18" s="19"/>
      <c r="J18" s="24" t="s">
        <v>124</v>
      </c>
      <c r="K18" s="18" t="str">
        <f t="shared" si="1"/>
        <v>JPY3M4X7F=</v>
      </c>
      <c r="L18" s="19">
        <f>'3M Pricing'!I18*100</f>
        <v>8.0010587064760372E-2</v>
      </c>
      <c r="M18" s="19">
        <f t="shared" si="4"/>
        <v>8.0010587064760372E-2</v>
      </c>
      <c r="N18" s="24" t="s">
        <v>129</v>
      </c>
      <c r="O18" s="18" t="str">
        <f t="shared" si="2"/>
        <v>JPY6M1X7F=</v>
      </c>
      <c r="P18" s="19">
        <f>'6M Pricing'!I18*100</f>
        <v>0.11942358324147891</v>
      </c>
      <c r="Q18" s="19">
        <f t="shared" si="5"/>
        <v>0.11942358324147891</v>
      </c>
      <c r="R18" s="2"/>
      <c r="S18" s="19"/>
      <c r="T18" s="19"/>
      <c r="U18" s="19" t="e">
        <f>ABS(_xll.RtGet(SourceAlias,$K18,BID)-L18)</f>
        <v>#VALUE!</v>
      </c>
      <c r="V18" s="19" t="e">
        <f>ABS(_xll.RtGet(SourceAlias,$K18,ASK)-M18)</f>
        <v>#VALUE!</v>
      </c>
      <c r="W18" s="19" t="e">
        <f>ABS(_xll.RtGet(SourceAlias,$O18,BID)-P18)</f>
        <v>#VALUE!</v>
      </c>
      <c r="X18" s="19" t="e">
        <f>ABS(_xll.RtGet(SourceAlias,$O18,ASK)-Q18)</f>
        <v>#VALUE!</v>
      </c>
      <c r="Y18" s="65" t="s">
        <v>103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103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103</v>
      </c>
      <c r="F19" s="24"/>
      <c r="G19" s="18"/>
      <c r="H19" s="19"/>
      <c r="I19" s="19"/>
      <c r="J19" s="24" t="s">
        <v>125</v>
      </c>
      <c r="K19" s="18" t="str">
        <f t="shared" si="1"/>
        <v>JPY3M5X8F=</v>
      </c>
      <c r="L19" s="19">
        <f>'3M Pricing'!I19*100</f>
        <v>7.9975971871881768E-2</v>
      </c>
      <c r="M19" s="19">
        <f t="shared" si="4"/>
        <v>7.9975971871881768E-2</v>
      </c>
      <c r="N19" s="24" t="s">
        <v>130</v>
      </c>
      <c r="O19" s="18" t="str">
        <f t="shared" si="2"/>
        <v>JPY6M2X8F=</v>
      </c>
      <c r="P19" s="19">
        <f>'6M Pricing'!I19*100</f>
        <v>0.1149445352854932</v>
      </c>
      <c r="Q19" s="19">
        <f t="shared" si="5"/>
        <v>0.1149445352854932</v>
      </c>
      <c r="R19" s="2"/>
      <c r="S19" s="19"/>
      <c r="T19" s="19"/>
      <c r="U19" s="19" t="e">
        <f>ABS(_xll.RtGet(SourceAlias,$K19,BID)-L19)</f>
        <v>#VALUE!</v>
      </c>
      <c r="V19" s="19" t="e">
        <f>ABS(_xll.RtGet(SourceAlias,$K19,ASK)-M19)</f>
        <v>#VALUE!</v>
      </c>
      <c r="W19" s="19" t="e">
        <f>ABS(_xll.RtGet(SourceAlias,$O19,BID)-P19)</f>
        <v>#VALUE!</v>
      </c>
      <c r="X19" s="19" t="e">
        <f>ABS(_xll.RtGet(SourceAlias,$O19,ASK)-Q19)</f>
        <v>#VALUE!</v>
      </c>
      <c r="Y19" s="65" t="s">
        <v>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103</v>
      </c>
      <c r="F20" s="24" t="s">
        <v>70</v>
      </c>
      <c r="G20" s="18" t="str">
        <f>Currency&amp;"ON"&amp;F20&amp;"="</f>
        <v>JPYON9MD=</v>
      </c>
      <c r="H20" s="19">
        <f>'ON Pricing'!I20*100</f>
        <v>5.9178082252009837E-2</v>
      </c>
      <c r="I20" s="19">
        <f t="shared" si="3"/>
        <v>5.9178082252009837E-2</v>
      </c>
      <c r="J20" s="24" t="s">
        <v>126</v>
      </c>
      <c r="K20" s="18" t="str">
        <f t="shared" si="1"/>
        <v>JPY3M6X9F=</v>
      </c>
      <c r="L20" s="19">
        <f>'3M Pricing'!I20*100</f>
        <v>8.007991442504872E-2</v>
      </c>
      <c r="M20" s="19">
        <f t="shared" si="4"/>
        <v>8.007991442504872E-2</v>
      </c>
      <c r="N20" s="24" t="s">
        <v>131</v>
      </c>
      <c r="O20" s="18" t="str">
        <f t="shared" si="2"/>
        <v>JPY6M3X9F=</v>
      </c>
      <c r="P20" s="19">
        <f>'6M Pricing'!I20*100</f>
        <v>0.11471443672093076</v>
      </c>
      <c r="Q20" s="19">
        <f t="shared" si="5"/>
        <v>0.11471443672093076</v>
      </c>
      <c r="R20" s="2"/>
      <c r="S20" s="19" t="e">
        <f>ABS(_xll.RtGet(SourceAlias,$G20,BID)-H20)</f>
        <v>#VALUE!</v>
      </c>
      <c r="T20" s="19" t="e">
        <f>ABS(_xll.RtGet(SourceAlias,$G20,ASK)-I20)</f>
        <v>#VALUE!</v>
      </c>
      <c r="U20" s="19" t="e">
        <f>ABS(_xll.RtGet(SourceAlias,$K20,BID)-L20)</f>
        <v>#VALUE!</v>
      </c>
      <c r="V20" s="19" t="e">
        <f>ABS(_xll.RtGet(SourceAlias,$K20,ASK)-M20)</f>
        <v>#VALUE!</v>
      </c>
      <c r="W20" s="19" t="e">
        <f>ABS(_xll.RtGet(SourceAlias,$O20,BID)-P20)</f>
        <v>#VALUE!</v>
      </c>
      <c r="X20" s="19" t="e">
        <f>ABS(_xll.RtGet(SourceAlias,$O20,ASK)-Q20)</f>
        <v>#VALUE!</v>
      </c>
      <c r="Y20" s="65" t="s">
        <v>103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103</v>
      </c>
      <c r="C21" s="24" t="s">
        <v>103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103</v>
      </c>
      <c r="F21" s="24"/>
      <c r="G21" s="18"/>
      <c r="H21" s="19"/>
      <c r="I21" s="19"/>
      <c r="J21" s="24"/>
      <c r="K21" s="18"/>
      <c r="L21" s="19"/>
      <c r="M21" s="19"/>
      <c r="N21" s="24" t="s">
        <v>132</v>
      </c>
      <c r="O21" s="18" t="str">
        <f t="shared" si="2"/>
        <v>JPY6M4X10F=</v>
      </c>
      <c r="P21" s="19">
        <f>'6M Pricing'!I21*100</f>
        <v>0.10937566923666615</v>
      </c>
      <c r="Q21" s="19">
        <f t="shared" si="5"/>
        <v>0.10937566923666615</v>
      </c>
      <c r="R21" s="2"/>
      <c r="S21" s="19"/>
      <c r="T21" s="19"/>
      <c r="U21" s="19"/>
      <c r="V21" s="19"/>
      <c r="W21" s="19" t="e">
        <f>ABS(_xll.RtGet(SourceAlias,$O21,BID)-P21)</f>
        <v>#VALUE!</v>
      </c>
      <c r="X21" s="19" t="e">
        <f>ABS(_xll.RtGet(SourceAlias,$O21,ASK)-Q21)</f>
        <v>#VALUE!</v>
      </c>
      <c r="Y21" s="65" t="s">
        <v>103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103</v>
      </c>
      <c r="C22" s="24" t="s">
        <v>103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103</v>
      </c>
      <c r="F22" s="24"/>
      <c r="G22" s="18"/>
      <c r="H22" s="19"/>
      <c r="I22" s="19"/>
      <c r="J22" s="24"/>
      <c r="K22" s="18"/>
      <c r="L22" s="19"/>
      <c r="M22" s="19"/>
      <c r="N22" s="24" t="s">
        <v>133</v>
      </c>
      <c r="O22" s="18" t="str">
        <f t="shared" si="2"/>
        <v>JPY6M5X11F=</v>
      </c>
      <c r="P22" s="19">
        <f>'6M Pricing'!I22*100</f>
        <v>0.10479045158929579</v>
      </c>
      <c r="Q22" s="19">
        <f t="shared" si="5"/>
        <v>0.10479045158929579</v>
      </c>
      <c r="R22" s="2"/>
      <c r="S22" s="19"/>
      <c r="T22" s="19"/>
      <c r="U22" s="19"/>
      <c r="V22" s="19"/>
      <c r="W22" s="19" t="e">
        <f>ABS(_xll.RtGet(SourceAlias,$O22,BID)-P22)</f>
        <v>#VALUE!</v>
      </c>
      <c r="X22" s="19" t="e">
        <f>ABS(_xll.RtGet(SourceAlias,$O22,ASK)-Q22)</f>
        <v>#VALUE!</v>
      </c>
      <c r="Y22" s="65" t="s">
        <v>103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103</v>
      </c>
      <c r="F23" s="24" t="s">
        <v>71</v>
      </c>
      <c r="G23" s="18" t="str">
        <f>Currency&amp;"ON"&amp;F23&amp;"="</f>
        <v>JPYON1YD=</v>
      </c>
      <c r="H23" s="19">
        <f>'ON Pricing'!I23*100</f>
        <v>5.4246575387738208E-2</v>
      </c>
      <c r="I23" s="19">
        <f t="shared" si="3"/>
        <v>5.4246575387738208E-2</v>
      </c>
      <c r="J23" s="24" t="s">
        <v>127</v>
      </c>
      <c r="K23" s="18" t="str">
        <f t="shared" ref="K23:K39" si="6">Currency&amp;"3M"&amp;J23&amp;"="</f>
        <v>JPY3M9X12F=</v>
      </c>
      <c r="L23" s="19">
        <f>'3M Pricing'!I23*100</f>
        <v>7.422215772398906E-2</v>
      </c>
      <c r="M23" s="19">
        <f t="shared" si="4"/>
        <v>7.422215772398906E-2</v>
      </c>
      <c r="N23" s="24" t="s">
        <v>134</v>
      </c>
      <c r="O23" s="18" t="str">
        <f t="shared" si="2"/>
        <v>JPY6M6X12F=</v>
      </c>
      <c r="P23" s="19">
        <f>'6M Pricing'!I23*100</f>
        <v>0.10506750279503667</v>
      </c>
      <c r="Q23" s="19">
        <f t="shared" si="5"/>
        <v>0.10506750279503667</v>
      </c>
      <c r="R23" s="2"/>
      <c r="S23" s="19" t="e">
        <f>ABS(_xll.RtGet(SourceAlias,$G23,BID)-H23)</f>
        <v>#VALUE!</v>
      </c>
      <c r="T23" s="19" t="e">
        <f>ABS(_xll.RtGet(SourceAlias,$G23,ASK)-I23)</f>
        <v>#VALUE!</v>
      </c>
      <c r="U23" s="19" t="e">
        <f>ABS(_xll.RtGet(SourceAlias,$K23,BID)-L23)</f>
        <v>#VALUE!</v>
      </c>
      <c r="V23" s="19" t="e">
        <f>ABS(_xll.RtGet(SourceAlias,$K23,ASK)-M23)</f>
        <v>#VALUE!</v>
      </c>
      <c r="W23" s="19" t="e">
        <f>ABS(_xll.RtGet(SourceAlias,$O23,BID)-P23)</f>
        <v>#VALUE!</v>
      </c>
      <c r="X23" s="19" t="e">
        <f>ABS(_xll.RtGet(SourceAlias,$O23,ASK)-Q23)</f>
        <v>#VALUE!</v>
      </c>
      <c r="Y23" s="65" t="s">
        <v>103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99</v>
      </c>
      <c r="B24" s="24" t="s">
        <v>103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103</v>
      </c>
      <c r="E24" s="2" t="s">
        <v>103</v>
      </c>
      <c r="F24" s="24"/>
      <c r="G24" s="18"/>
      <c r="H24" s="19"/>
      <c r="I24" s="19"/>
      <c r="J24" s="24" t="s">
        <v>128</v>
      </c>
      <c r="K24" s="18" t="str">
        <f t="shared" si="6"/>
        <v>JPY3M12X15F=</v>
      </c>
      <c r="L24" s="19">
        <f>'3M Pricing'!I24*100</f>
        <v>6.4931190671575656E-2</v>
      </c>
      <c r="M24" s="19">
        <f t="shared" si="4"/>
        <v>6.4931190671575656E-2</v>
      </c>
      <c r="N24" s="24"/>
      <c r="O24" s="18"/>
      <c r="P24" s="19"/>
      <c r="Q24" s="19"/>
      <c r="R24" s="2"/>
      <c r="S24" s="19"/>
      <c r="T24" s="19"/>
      <c r="U24" s="19" t="e">
        <f>ABS(_xll.RtGet(SourceAlias,$K24,BID)-L24)</f>
        <v>#VALUE!</v>
      </c>
      <c r="V24" s="19" t="e">
        <f>ABS(_xll.RtGet(SourceAlias,$K24,ASK)-M24)</f>
        <v>#VALUE!</v>
      </c>
      <c r="W24" s="19"/>
      <c r="X24" s="19"/>
      <c r="Y24" s="65" t="s">
        <v>103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98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103</v>
      </c>
      <c r="F25" s="24" t="s">
        <v>102</v>
      </c>
      <c r="G25" s="18" t="str">
        <f t="shared" ref="G25:G39" si="7">Currency&amp;"ON"&amp;F25&amp;"="</f>
        <v>JPYON1Y6MD=</v>
      </c>
      <c r="H25" s="19">
        <f>'ON Pricing'!I25*100</f>
        <v>4.9315068523418076E-2</v>
      </c>
      <c r="I25" s="19">
        <f t="shared" si="3"/>
        <v>4.9315068523418076E-2</v>
      </c>
      <c r="J25" s="24" t="s">
        <v>98</v>
      </c>
      <c r="K25" s="18" t="str">
        <f t="shared" si="6"/>
        <v>JPY3M18M=</v>
      </c>
      <c r="L25" s="19">
        <f>'3M Pricing'!I25*100</f>
        <v>7.4999297399355971E-2</v>
      </c>
      <c r="M25" s="19">
        <f t="shared" si="4"/>
        <v>7.4999297399355971E-2</v>
      </c>
      <c r="N25" s="24" t="s">
        <v>98</v>
      </c>
      <c r="O25" s="18" t="str">
        <f t="shared" ref="O25:O39" si="8">Currency&amp;"6M"&amp;N25&amp;"="</f>
        <v>JPY6M18M=</v>
      </c>
      <c r="P25" s="19">
        <f>'6M Pricing'!I25*100</f>
        <v>0.10999993785273615</v>
      </c>
      <c r="Q25" s="19">
        <f t="shared" si="5"/>
        <v>0.10999993785273615</v>
      </c>
      <c r="R25" s="2"/>
      <c r="S25" s="19" t="e">
        <f>ABS(_xll.RtGet(SourceAlias,$G25,BID)-H25)</f>
        <v>#VALUE!</v>
      </c>
      <c r="T25" s="19" t="e">
        <f>ABS(_xll.RtGet(SourceAlias,$G25,ASK)-I25)</f>
        <v>#VALUE!</v>
      </c>
      <c r="U25" s="19" t="e">
        <f>ABS(_xll.RtGet(SourceAlias,$K25,BID)-L25)</f>
        <v>#VALUE!</v>
      </c>
      <c r="V25" s="19" t="e">
        <f>ABS(_xll.RtGet(SourceAlias,$K25,ASK)-M25)</f>
        <v>#VALUE!</v>
      </c>
      <c r="W25" s="19" t="e">
        <f>ABS(_xll.RtGet(SourceAlias,$O25,BID)-P25)</f>
        <v>#VALUE!</v>
      </c>
      <c r="X25" s="19" t="e">
        <f>ABS(_xll.RtGet(SourceAlias,$O25,ASK)-Q25)</f>
        <v>#VALUE!</v>
      </c>
      <c r="Y25" s="65" t="s">
        <v>103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103</v>
      </c>
      <c r="F26" s="24" t="s">
        <v>72</v>
      </c>
      <c r="G26" s="18" t="str">
        <f t="shared" si="7"/>
        <v>JPYON2YD=</v>
      </c>
      <c r="H26" s="19">
        <f>'ON Pricing'!I26*100</f>
        <v>4.6849315091235709E-2</v>
      </c>
      <c r="I26" s="19">
        <f t="shared" si="3"/>
        <v>4.6849315091235709E-2</v>
      </c>
      <c r="J26" s="24" t="s">
        <v>36</v>
      </c>
      <c r="K26" s="18" t="str">
        <f t="shared" si="6"/>
        <v>JPY3M2Y=</v>
      </c>
      <c r="L26" s="19">
        <f>'3M Pricing'!I26*100</f>
        <v>7.454673590397802E-2</v>
      </c>
      <c r="M26" s="19">
        <f t="shared" si="4"/>
        <v>7.454673590397802E-2</v>
      </c>
      <c r="N26" s="24" t="s">
        <v>36</v>
      </c>
      <c r="O26" s="18" t="str">
        <f t="shared" si="8"/>
        <v>JPY6M2Y=</v>
      </c>
      <c r="P26" s="19">
        <f>'6M Pricing'!I26*100</f>
        <v>0.10749995461240076</v>
      </c>
      <c r="Q26" s="19">
        <f t="shared" si="5"/>
        <v>0.10749995461240076</v>
      </c>
      <c r="R26" s="2"/>
      <c r="S26" s="19" t="e">
        <f>ABS(_xll.RtGet(SourceAlias,$G26,BID)-H26)</f>
        <v>#VALUE!</v>
      </c>
      <c r="T26" s="19" t="e">
        <f>ABS(_xll.RtGet(SourceAlias,$G26,ASK)-I26)</f>
        <v>#VALUE!</v>
      </c>
      <c r="U26" s="19" t="e">
        <f>ABS(_xll.RtGet(SourceAlias,$K26,BID)-L26)</f>
        <v>#VALUE!</v>
      </c>
      <c r="V26" s="19" t="e">
        <f>ABS(_xll.RtGet(SourceAlias,$K26,ASK)-M26)</f>
        <v>#VALUE!</v>
      </c>
      <c r="W26" s="19" t="e">
        <f>ABS(_xll.RtGet(SourceAlias,$O26,BID)-P26)</f>
        <v>#VALUE!</v>
      </c>
      <c r="X26" s="19" t="e">
        <f>ABS(_xll.RtGet(SourceAlias,$O26,ASK)-Q26)</f>
        <v>#VALUE!</v>
      </c>
      <c r="Y26" s="65" t="s">
        <v>103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103</v>
      </c>
      <c r="F27" s="24" t="s">
        <v>73</v>
      </c>
      <c r="G27" s="18" t="str">
        <f t="shared" si="7"/>
        <v>JPYON3YD=</v>
      </c>
      <c r="H27" s="19">
        <f>'ON Pricing'!I27*100</f>
        <v>4.6849315083660401E-2</v>
      </c>
      <c r="I27" s="19">
        <f t="shared" si="3"/>
        <v>4.6849315083660401E-2</v>
      </c>
      <c r="J27" s="24" t="s">
        <v>37</v>
      </c>
      <c r="K27" s="18" t="str">
        <f t="shared" si="6"/>
        <v>JPY3M3Y=</v>
      </c>
      <c r="L27" s="19">
        <f>'3M Pricing'!I27*100</f>
        <v>8.1976891525618378E-2</v>
      </c>
      <c r="M27" s="19">
        <f t="shared" si="4"/>
        <v>8.1976891525618378E-2</v>
      </c>
      <c r="N27" s="24" t="s">
        <v>37</v>
      </c>
      <c r="O27" s="18" t="str">
        <f t="shared" si="8"/>
        <v>JPY6M3Y=</v>
      </c>
      <c r="P27" s="19">
        <f>'6M Pricing'!I27*100</f>
        <v>0.11999996540180938</v>
      </c>
      <c r="Q27" s="19">
        <f t="shared" si="5"/>
        <v>0.11999996540180938</v>
      </c>
      <c r="R27" s="2"/>
      <c r="S27" s="19" t="e">
        <f>ABS(_xll.RtGet(SourceAlias,$G27,BID)-H27)</f>
        <v>#VALUE!</v>
      </c>
      <c r="T27" s="19" t="e">
        <f>ABS(_xll.RtGet(SourceAlias,$G27,ASK)-I27)</f>
        <v>#VALUE!</v>
      </c>
      <c r="U27" s="19" t="e">
        <f>ABS(_xll.RtGet(SourceAlias,$K27,BID)-L27)</f>
        <v>#VALUE!</v>
      </c>
      <c r="V27" s="19" t="e">
        <f>ABS(_xll.RtGet(SourceAlias,$K27,ASK)-M27)</f>
        <v>#VALUE!</v>
      </c>
      <c r="W27" s="19" t="e">
        <f>ABS(_xll.RtGet(SourceAlias,$O27,BID)-P27)</f>
        <v>#VALUE!</v>
      </c>
      <c r="X27" s="19" t="e">
        <f>ABS(_xll.RtGet(SourceAlias,$O27,ASK)-Q27)</f>
        <v>#VALUE!</v>
      </c>
      <c r="Y27" s="65" t="s">
        <v>103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103</v>
      </c>
      <c r="F28" s="24" t="s">
        <v>74</v>
      </c>
      <c r="G28" s="18" t="str">
        <f t="shared" si="7"/>
        <v>JPYON4YD=</v>
      </c>
      <c r="H28" s="19">
        <f>'ON Pricing'!I28*100</f>
        <v>6.9041095901789667E-2</v>
      </c>
      <c r="I28" s="19">
        <f t="shared" si="3"/>
        <v>6.9041095901789667E-2</v>
      </c>
      <c r="J28" s="24" t="s">
        <v>38</v>
      </c>
      <c r="K28" s="18" t="str">
        <f t="shared" si="6"/>
        <v>JPY3M4Y=</v>
      </c>
      <c r="L28" s="19">
        <f>'3M Pricing'!I28*100</f>
        <v>0.11194066854462664</v>
      </c>
      <c r="M28" s="19">
        <f t="shared" si="4"/>
        <v>0.11194066854462664</v>
      </c>
      <c r="N28" s="24" t="s">
        <v>38</v>
      </c>
      <c r="O28" s="18" t="str">
        <f t="shared" si="8"/>
        <v>JPY6M4Y=</v>
      </c>
      <c r="P28" s="19">
        <f>'6M Pricing'!I28*100</f>
        <v>0.15249996559332352</v>
      </c>
      <c r="Q28" s="19">
        <f t="shared" si="5"/>
        <v>0.15249996559332352</v>
      </c>
      <c r="R28" s="2"/>
      <c r="S28" s="19" t="e">
        <f>ABS(_xll.RtGet(SourceAlias,$G28,BID)-H28)</f>
        <v>#VALUE!</v>
      </c>
      <c r="T28" s="19" t="e">
        <f>ABS(_xll.RtGet(SourceAlias,$G28,ASK)-I28)</f>
        <v>#VALUE!</v>
      </c>
      <c r="U28" s="19" t="e">
        <f>ABS(_xll.RtGet(SourceAlias,$K28,BID)-L28)</f>
        <v>#VALUE!</v>
      </c>
      <c r="V28" s="19" t="e">
        <f>ABS(_xll.RtGet(SourceAlias,$K28,ASK)-M28)</f>
        <v>#VALUE!</v>
      </c>
      <c r="W28" s="19" t="e">
        <f>ABS(_xll.RtGet(SourceAlias,$O28,BID)-P28)</f>
        <v>#VALUE!</v>
      </c>
      <c r="X28" s="19" t="e">
        <f>ABS(_xll.RtGet(SourceAlias,$O28,ASK)-Q28)</f>
        <v>#VALUE!</v>
      </c>
      <c r="Y28" s="65" t="s">
        <v>103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103</v>
      </c>
      <c r="F29" s="24" t="s">
        <v>75</v>
      </c>
      <c r="G29" s="18" t="str">
        <f t="shared" si="7"/>
        <v>JPYON5YD=</v>
      </c>
      <c r="H29" s="19">
        <f>'ON Pricing'!I29*100</f>
        <v>0.1084931506763596</v>
      </c>
      <c r="I29" s="19">
        <f t="shared" si="3"/>
        <v>0.1084931506763596</v>
      </c>
      <c r="J29" s="24" t="s">
        <v>39</v>
      </c>
      <c r="K29" s="18" t="str">
        <f t="shared" si="6"/>
        <v>JPY3M5Y=</v>
      </c>
      <c r="L29" s="19">
        <f>'3M Pricing'!I29*100</f>
        <v>0.15940344270366855</v>
      </c>
      <c r="M29" s="19">
        <f t="shared" si="4"/>
        <v>0.15940344270366855</v>
      </c>
      <c r="N29" s="24" t="s">
        <v>39</v>
      </c>
      <c r="O29" s="18" t="str">
        <f t="shared" si="8"/>
        <v>JPY6M5Y=</v>
      </c>
      <c r="P29" s="19">
        <f>'6M Pricing'!I29*100</f>
        <v>0.20249996215714661</v>
      </c>
      <c r="Q29" s="19">
        <f t="shared" si="5"/>
        <v>0.20249996215714661</v>
      </c>
      <c r="R29" s="2"/>
      <c r="S29" s="19" t="e">
        <f>ABS(_xll.RtGet(SourceAlias,$G29,BID)-H29)</f>
        <v>#VALUE!</v>
      </c>
      <c r="T29" s="19" t="e">
        <f>ABS(_xll.RtGet(SourceAlias,$G29,ASK)-I29)</f>
        <v>#VALUE!</v>
      </c>
      <c r="U29" s="19" t="e">
        <f>ABS(_xll.RtGet(SourceAlias,$K29,BID)-L29)</f>
        <v>#VALUE!</v>
      </c>
      <c r="V29" s="19" t="e">
        <f>ABS(_xll.RtGet(SourceAlias,$K29,ASK)-M29)</f>
        <v>#VALUE!</v>
      </c>
      <c r="W29" s="19" t="e">
        <f>ABS(_xll.RtGet(SourceAlias,$O29,BID)-P29)</f>
        <v>#VALUE!</v>
      </c>
      <c r="X29" s="19" t="e">
        <f>ABS(_xll.RtGet(SourceAlias,$O29,ASK)-Q29)</f>
        <v>#VALUE!</v>
      </c>
      <c r="Y29" s="65" t="s">
        <v>103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103</v>
      </c>
      <c r="F30" s="24" t="s">
        <v>76</v>
      </c>
      <c r="G30" s="18" t="str">
        <f t="shared" si="7"/>
        <v>JPYON6YD=</v>
      </c>
      <c r="H30" s="19">
        <f>'ON Pricing'!I30*100</f>
        <v>0.15287671232414843</v>
      </c>
      <c r="I30" s="19">
        <f t="shared" si="3"/>
        <v>0.15287671232414843</v>
      </c>
      <c r="J30" s="24" t="s">
        <v>40</v>
      </c>
      <c r="K30" s="18" t="str">
        <f t="shared" si="6"/>
        <v>JPY3M6Y=</v>
      </c>
      <c r="L30" s="19">
        <f>'3M Pricing'!I30*100</f>
        <v>0.21436563105070161</v>
      </c>
      <c r="M30" s="19">
        <f t="shared" si="4"/>
        <v>0.21436563105070161</v>
      </c>
      <c r="N30" s="24" t="s">
        <v>40</v>
      </c>
      <c r="O30" s="18" t="str">
        <f t="shared" si="8"/>
        <v>JPY6M6Y=</v>
      </c>
      <c r="P30" s="19">
        <f>'6M Pricing'!I30*100</f>
        <v>0.25999995853940372</v>
      </c>
      <c r="Q30" s="19">
        <f t="shared" si="5"/>
        <v>0.25999995853940372</v>
      </c>
      <c r="R30" s="2"/>
      <c r="S30" s="19" t="e">
        <f>ABS(_xll.RtGet(SourceAlias,$G30,BID)-H30)</f>
        <v>#VALUE!</v>
      </c>
      <c r="T30" s="19" t="e">
        <f>ABS(_xll.RtGet(SourceAlias,$G30,ASK)-I30)</f>
        <v>#VALUE!</v>
      </c>
      <c r="U30" s="19" t="e">
        <f>ABS(_xll.RtGet(SourceAlias,$K30,BID)-L30)</f>
        <v>#VALUE!</v>
      </c>
      <c r="V30" s="19" t="e">
        <f>ABS(_xll.RtGet(SourceAlias,$K30,ASK)-M30)</f>
        <v>#VALUE!</v>
      </c>
      <c r="W30" s="19" t="e">
        <f>ABS(_xll.RtGet(SourceAlias,$O30,BID)-P30)</f>
        <v>#VALUE!</v>
      </c>
      <c r="X30" s="19" t="e">
        <f>ABS(_xll.RtGet(SourceAlias,$O30,ASK)-Q30)</f>
        <v>#VALUE!</v>
      </c>
      <c r="Y30" s="65" t="s">
        <v>103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103</v>
      </c>
      <c r="F31" s="24" t="s">
        <v>77</v>
      </c>
      <c r="G31" s="18" t="str">
        <f t="shared" si="7"/>
        <v>JPYON7YD=</v>
      </c>
      <c r="H31" s="19">
        <f>'ON Pricing'!I31*100</f>
        <v>0.20958904109359511</v>
      </c>
      <c r="I31" s="19">
        <f t="shared" si="3"/>
        <v>0.20958904109359511</v>
      </c>
      <c r="J31" s="24" t="s">
        <v>41</v>
      </c>
      <c r="K31" s="18" t="str">
        <f t="shared" si="6"/>
        <v>JPY3M7Y=</v>
      </c>
      <c r="L31" s="19">
        <f>'3M Pricing'!I31*100</f>
        <v>0.27682686465238232</v>
      </c>
      <c r="M31" s="19">
        <f t="shared" si="4"/>
        <v>0.27682686465238232</v>
      </c>
      <c r="N31" s="24" t="s">
        <v>41</v>
      </c>
      <c r="O31" s="18" t="str">
        <f t="shared" si="8"/>
        <v>JPY6M7Y=</v>
      </c>
      <c r="P31" s="19">
        <f>'6M Pricing'!I31*100</f>
        <v>0.32499995475105137</v>
      </c>
      <c r="Q31" s="19">
        <f t="shared" si="5"/>
        <v>0.32499995475105137</v>
      </c>
      <c r="R31" s="2"/>
      <c r="S31" s="19" t="e">
        <f>ABS(_xll.RtGet(SourceAlias,$G31,BID)-H31)</f>
        <v>#VALUE!</v>
      </c>
      <c r="T31" s="19" t="e">
        <f>ABS(_xll.RtGet(SourceAlias,$G31,ASK)-I31)</f>
        <v>#VALUE!</v>
      </c>
      <c r="U31" s="19" t="e">
        <f>ABS(_xll.RtGet(SourceAlias,$K31,BID)-L31)</f>
        <v>#VALUE!</v>
      </c>
      <c r="V31" s="19" t="e">
        <f>ABS(_xll.RtGet(SourceAlias,$K31,ASK)-M31)</f>
        <v>#VALUE!</v>
      </c>
      <c r="W31" s="19" t="e">
        <f>ABS(_xll.RtGet(SourceAlias,$O31,BID)-P31)</f>
        <v>#VALUE!</v>
      </c>
      <c r="X31" s="19" t="e">
        <f>ABS(_xll.RtGet(SourceAlias,$O31,ASK)-Q31)</f>
        <v>#VALUE!</v>
      </c>
      <c r="Y31" s="65" t="s">
        <v>103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103</v>
      </c>
      <c r="F32" s="24" t="s">
        <v>78</v>
      </c>
      <c r="G32" s="18" t="str">
        <f t="shared" si="7"/>
        <v>JPYON8YD=</v>
      </c>
      <c r="H32" s="19">
        <f>'ON Pricing'!I32*100</f>
        <v>0.2638356164373985</v>
      </c>
      <c r="I32" s="19">
        <f t="shared" si="3"/>
        <v>0.2638356164373985</v>
      </c>
      <c r="J32" s="24" t="s">
        <v>42</v>
      </c>
      <c r="K32" s="18" t="str">
        <f t="shared" si="6"/>
        <v>JPY3M8Y=</v>
      </c>
      <c r="L32" s="19">
        <f>'3M Pricing'!I32*100</f>
        <v>0.34178793505052985</v>
      </c>
      <c r="M32" s="19">
        <f t="shared" si="4"/>
        <v>0.34178793505052985</v>
      </c>
      <c r="N32" s="24" t="s">
        <v>42</v>
      </c>
      <c r="O32" s="18" t="str">
        <f t="shared" si="8"/>
        <v>JPY6M8Y=</v>
      </c>
      <c r="P32" s="19">
        <f>'6M Pricing'!I32*100</f>
        <v>0.39249995153951017</v>
      </c>
      <c r="Q32" s="19">
        <f t="shared" si="5"/>
        <v>0.39249995153951017</v>
      </c>
      <c r="R32" s="2"/>
      <c r="S32" s="19" t="e">
        <f>ABS(_xll.RtGet(SourceAlias,$G32,BID)-H32)</f>
        <v>#VALUE!</v>
      </c>
      <c r="T32" s="19" t="e">
        <f>ABS(_xll.RtGet(SourceAlias,$G32,ASK)-I32)</f>
        <v>#VALUE!</v>
      </c>
      <c r="U32" s="19" t="e">
        <f>ABS(_xll.RtGet(SourceAlias,$K32,BID)-L32)</f>
        <v>#VALUE!</v>
      </c>
      <c r="V32" s="19" t="e">
        <f>ABS(_xll.RtGet(SourceAlias,$K32,ASK)-M32)</f>
        <v>#VALUE!</v>
      </c>
      <c r="W32" s="19" t="e">
        <f>ABS(_xll.RtGet(SourceAlias,$O32,BID)-P32)</f>
        <v>#VALUE!</v>
      </c>
      <c r="X32" s="19" t="e">
        <f>ABS(_xll.RtGet(SourceAlias,$O32,ASK)-Q32)</f>
        <v>#VALUE!</v>
      </c>
      <c r="Y32" s="65" t="s">
        <v>103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103</v>
      </c>
      <c r="F33" s="24" t="s">
        <v>79</v>
      </c>
      <c r="G33" s="18" t="str">
        <f t="shared" si="7"/>
        <v>JPYON9YD=</v>
      </c>
      <c r="H33" s="19">
        <f>'ON Pricing'!I33*100</f>
        <v>0.32547945205466711</v>
      </c>
      <c r="I33" s="19">
        <f t="shared" si="3"/>
        <v>0.32547945205466711</v>
      </c>
      <c r="J33" s="24" t="s">
        <v>43</v>
      </c>
      <c r="K33" s="18" t="str">
        <f t="shared" si="6"/>
        <v>JPY3M9Y=</v>
      </c>
      <c r="L33" s="19">
        <f>'3M Pricing'!I33*100</f>
        <v>0.40924806007758424</v>
      </c>
      <c r="M33" s="19">
        <f t="shared" si="4"/>
        <v>0.40924806007758424</v>
      </c>
      <c r="N33" s="24" t="s">
        <v>43</v>
      </c>
      <c r="O33" s="18" t="str">
        <f t="shared" si="8"/>
        <v>JPY6M9Y=</v>
      </c>
      <c r="P33" s="19">
        <f>'6M Pricing'!I33*100</f>
        <v>0.46249994873199818</v>
      </c>
      <c r="Q33" s="19">
        <f t="shared" si="5"/>
        <v>0.46249994873199818</v>
      </c>
      <c r="R33" s="2"/>
      <c r="S33" s="19" t="e">
        <f>ABS(_xll.RtGet(SourceAlias,$G33,BID)-H33)</f>
        <v>#VALUE!</v>
      </c>
      <c r="T33" s="19" t="e">
        <f>ABS(_xll.RtGet(SourceAlias,$G33,ASK)-I33)</f>
        <v>#VALUE!</v>
      </c>
      <c r="U33" s="19" t="e">
        <f>ABS(_xll.RtGet(SourceAlias,$K33,BID)-L33)</f>
        <v>#VALUE!</v>
      </c>
      <c r="V33" s="19" t="e">
        <f>ABS(_xll.RtGet(SourceAlias,$K33,ASK)-M33)</f>
        <v>#VALUE!</v>
      </c>
      <c r="W33" s="19" t="e">
        <f>ABS(_xll.RtGet(SourceAlias,$O33,BID)-P33)</f>
        <v>#VALUE!</v>
      </c>
      <c r="X33" s="19" t="e">
        <f>ABS(_xll.RtGet(SourceAlias,$O33,ASK)-Q33)</f>
        <v>#VALUE!</v>
      </c>
      <c r="Y33" s="65" t="s">
        <v>103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103</v>
      </c>
      <c r="F34" s="24" t="s">
        <v>80</v>
      </c>
      <c r="G34" s="18" t="str">
        <f t="shared" si="7"/>
        <v>JPYON10YD=</v>
      </c>
      <c r="H34" s="19">
        <f>'ON Pricing'!I34*100</f>
        <v>0.38958904109634546</v>
      </c>
      <c r="I34" s="19">
        <f t="shared" si="3"/>
        <v>0.38958904109634546</v>
      </c>
      <c r="J34" s="24" t="s">
        <v>44</v>
      </c>
      <c r="K34" s="18" t="str">
        <f t="shared" si="6"/>
        <v>JPY3M10Y=</v>
      </c>
      <c r="L34" s="19">
        <f>'3M Pricing'!I34*100</f>
        <v>0.47670770362003972</v>
      </c>
      <c r="M34" s="19">
        <f t="shared" si="4"/>
        <v>0.47670770362003972</v>
      </c>
      <c r="N34" s="24" t="s">
        <v>44</v>
      </c>
      <c r="O34" s="18" t="str">
        <f t="shared" si="8"/>
        <v>JPY6M10Y=</v>
      </c>
      <c r="P34" s="19">
        <f>'6M Pricing'!I34*100</f>
        <v>0.5324999463929887</v>
      </c>
      <c r="Q34" s="19">
        <f t="shared" si="5"/>
        <v>0.5324999463929887</v>
      </c>
      <c r="R34" s="2"/>
      <c r="S34" s="19" t="e">
        <f>ABS(_xll.RtGet(SourceAlias,$G34,BID)-H34)</f>
        <v>#VALUE!</v>
      </c>
      <c r="T34" s="19" t="e">
        <f>ABS(_xll.RtGet(SourceAlias,$G34,ASK)-I34)</f>
        <v>#VALUE!</v>
      </c>
      <c r="U34" s="19" t="e">
        <f>ABS(_xll.RtGet(SourceAlias,$K34,BID)-L34)</f>
        <v>#VALUE!</v>
      </c>
      <c r="V34" s="19" t="e">
        <f>ABS(_xll.RtGet(SourceAlias,$K34,ASK)-M34)</f>
        <v>#VALUE!</v>
      </c>
      <c r="W34" s="19" t="e">
        <f>ABS(_xll.RtGet(SourceAlias,$O34,BID)-P34)</f>
        <v>#VALUE!</v>
      </c>
      <c r="X34" s="19" t="e">
        <f>ABS(_xll.RtGet(SourceAlias,$O34,ASK)-Q34)</f>
        <v>#VALUE!</v>
      </c>
      <c r="Y34" s="65" t="s">
        <v>103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103</v>
      </c>
      <c r="F35" s="24" t="s">
        <v>81</v>
      </c>
      <c r="G35" s="18" t="str">
        <f t="shared" si="7"/>
        <v>JPYON12YD=</v>
      </c>
      <c r="H35" s="19">
        <f>'ON Pricing'!I35*100</f>
        <v>0.5202739726022384</v>
      </c>
      <c r="I35" s="19">
        <f t="shared" si="3"/>
        <v>0.5202739726022384</v>
      </c>
      <c r="J35" s="24" t="s">
        <v>45</v>
      </c>
      <c r="K35" s="18" t="str">
        <f t="shared" si="6"/>
        <v>JPY3M12Y=</v>
      </c>
      <c r="L35" s="19">
        <f>'3M Pricing'!I35*100</f>
        <v>0.62310628227582521</v>
      </c>
      <c r="M35" s="19">
        <f t="shared" si="4"/>
        <v>0.62310628227582521</v>
      </c>
      <c r="N35" s="24" t="s">
        <v>45</v>
      </c>
      <c r="O35" s="18" t="str">
        <f t="shared" si="8"/>
        <v>JPY6M12Y=</v>
      </c>
      <c r="P35" s="19">
        <f>'6M Pricing'!I35*100</f>
        <v>0.67749994231983823</v>
      </c>
      <c r="Q35" s="19">
        <f t="shared" si="5"/>
        <v>0.67749994231983823</v>
      </c>
      <c r="R35" s="2"/>
      <c r="S35" s="19" t="e">
        <f>ABS(_xll.RtGet(SourceAlias,$G35,BID)-H35)</f>
        <v>#VALUE!</v>
      </c>
      <c r="T35" s="19" t="e">
        <f>ABS(_xll.RtGet(SourceAlias,$G35,ASK)-I35)</f>
        <v>#VALUE!</v>
      </c>
      <c r="U35" s="19" t="e">
        <f>ABS(_xll.RtGet(SourceAlias,$K35,BID)-L35)</f>
        <v>#VALUE!</v>
      </c>
      <c r="V35" s="19" t="e">
        <f>ABS(_xll.RtGet(SourceAlias,$K35,ASK)-M35)</f>
        <v>#VALUE!</v>
      </c>
      <c r="W35" s="19" t="e">
        <f>ABS(_xll.RtGet(SourceAlias,$O35,BID)-P35)</f>
        <v>#VALUE!</v>
      </c>
      <c r="X35" s="19" t="e">
        <f>ABS(_xll.RtGet(SourceAlias,$O35,ASK)-Q35)</f>
        <v>#VALUE!</v>
      </c>
      <c r="Y35" s="65" t="s">
        <v>103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103</v>
      </c>
      <c r="F36" s="24" t="s">
        <v>82</v>
      </c>
      <c r="G36" s="18" t="str">
        <f t="shared" si="7"/>
        <v>JPYON15YD=</v>
      </c>
      <c r="H36" s="19">
        <f>'ON Pricing'!I36*100</f>
        <v>0.73232876712292294</v>
      </c>
      <c r="I36" s="19">
        <f t="shared" si="3"/>
        <v>0.73232876712292294</v>
      </c>
      <c r="J36" s="24" t="s">
        <v>46</v>
      </c>
      <c r="K36" s="18" t="str">
        <f t="shared" si="6"/>
        <v>JPY3M15Y=</v>
      </c>
      <c r="L36" s="19">
        <f>'3M Pricing'!I36*100</f>
        <v>0.8392205033998642</v>
      </c>
      <c r="M36" s="19">
        <f t="shared" si="4"/>
        <v>0.8392205033998642</v>
      </c>
      <c r="N36" s="24" t="s">
        <v>46</v>
      </c>
      <c r="O36" s="18" t="str">
        <f t="shared" si="8"/>
        <v>JPY6M15Y=</v>
      </c>
      <c r="P36" s="19">
        <f>'6M Pricing'!I36*100</f>
        <v>0.89249993787843351</v>
      </c>
      <c r="Q36" s="19">
        <f t="shared" si="5"/>
        <v>0.89249993787843351</v>
      </c>
      <c r="R36" s="2"/>
      <c r="S36" s="19" t="e">
        <f>ABS(_xll.RtGet(SourceAlias,$G36,BID)-H36)</f>
        <v>#VALUE!</v>
      </c>
      <c r="T36" s="19" t="e">
        <f>ABS(_xll.RtGet(SourceAlias,$G36,ASK)-I36)</f>
        <v>#VALUE!</v>
      </c>
      <c r="U36" s="19" t="e">
        <f>ABS(_xll.RtGet(SourceAlias,$K36,BID)-L36)</f>
        <v>#VALUE!</v>
      </c>
      <c r="V36" s="19" t="e">
        <f>ABS(_xll.RtGet(SourceAlias,$K36,ASK)-M36)</f>
        <v>#VALUE!</v>
      </c>
      <c r="W36" s="19" t="e">
        <f>ABS(_xll.RtGet(SourceAlias,$O36,BID)-P36)</f>
        <v>#VALUE!</v>
      </c>
      <c r="X36" s="19" t="e">
        <f>ABS(_xll.RtGet(SourceAlias,$O36,ASK)-Q36)</f>
        <v>#VALUE!</v>
      </c>
      <c r="Y36" s="65" t="s">
        <v>103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103</v>
      </c>
      <c r="F37" s="24" t="s">
        <v>83</v>
      </c>
      <c r="G37" s="18" t="str">
        <f t="shared" si="7"/>
        <v>JPYON20YD=</v>
      </c>
      <c r="H37" s="19">
        <f>'ON Pricing'!I37*100</f>
        <v>1.0035616438352342</v>
      </c>
      <c r="I37" s="19">
        <f t="shared" si="3"/>
        <v>1.0035616438352342</v>
      </c>
      <c r="J37" s="24" t="s">
        <v>47</v>
      </c>
      <c r="K37" s="18" t="str">
        <f t="shared" si="6"/>
        <v>JPY3M20Y=</v>
      </c>
      <c r="L37" s="19">
        <f>'3M Pricing'!I37*100</f>
        <v>1.1167404596459283</v>
      </c>
      <c r="M37" s="19">
        <f t="shared" si="4"/>
        <v>1.1167404596459283</v>
      </c>
      <c r="N37" s="24" t="s">
        <v>47</v>
      </c>
      <c r="O37" s="18" t="str">
        <f t="shared" si="8"/>
        <v>JPY6M20Y=</v>
      </c>
      <c r="P37" s="19">
        <f>'6M Pricing'!I37*100</f>
        <v>1.1674999245849889</v>
      </c>
      <c r="Q37" s="19">
        <f t="shared" si="5"/>
        <v>1.1674999245849889</v>
      </c>
      <c r="R37" s="2"/>
      <c r="S37" s="19" t="e">
        <f>ABS(_xll.RtGet(SourceAlias,$G37,BID)-H37)</f>
        <v>#VALUE!</v>
      </c>
      <c r="T37" s="19" t="e">
        <f>ABS(_xll.RtGet(SourceAlias,$G37,ASK)-I37)</f>
        <v>#VALUE!</v>
      </c>
      <c r="U37" s="19" t="e">
        <f>ABS(_xll.RtGet(SourceAlias,$K37,BID)-L37)</f>
        <v>#VALUE!</v>
      </c>
      <c r="V37" s="19" t="e">
        <f>ABS(_xll.RtGet(SourceAlias,$K37,ASK)-M37)</f>
        <v>#VALUE!</v>
      </c>
      <c r="W37" s="19" t="e">
        <f>ABS(_xll.RtGet(SourceAlias,$O37,BID)-P37)</f>
        <v>#VALUE!</v>
      </c>
      <c r="X37" s="19" t="e">
        <f>ABS(_xll.RtGet(SourceAlias,$O37,ASK)-Q37)</f>
        <v>#VALUE!</v>
      </c>
      <c r="Y37" s="65" t="s">
        <v>103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103</v>
      </c>
      <c r="F38" s="24" t="s">
        <v>84</v>
      </c>
      <c r="G38" s="18" t="str">
        <f t="shared" si="7"/>
        <v>JPYON25YD=</v>
      </c>
      <c r="H38" s="19">
        <f>'ON Pricing'!I38*100</f>
        <v>1.1539726027403256</v>
      </c>
      <c r="I38" s="19">
        <f t="shared" si="3"/>
        <v>1.1539726027403256</v>
      </c>
      <c r="J38" s="24" t="s">
        <v>48</v>
      </c>
      <c r="K38" s="18" t="str">
        <f t="shared" si="6"/>
        <v>JPY3M25Y=</v>
      </c>
      <c r="L38" s="19">
        <f>'3M Pricing'!I38*100</f>
        <v>1.2714026482188243</v>
      </c>
      <c r="M38" s="19">
        <f t="shared" si="4"/>
        <v>1.2714026482188243</v>
      </c>
      <c r="N38" s="24" t="s">
        <v>48</v>
      </c>
      <c r="O38" s="18" t="str">
        <f t="shared" si="8"/>
        <v>JPY6M25Y=</v>
      </c>
      <c r="P38" s="19">
        <f>'6M Pricing'!I38*100</f>
        <v>1.3199999293364746</v>
      </c>
      <c r="Q38" s="19">
        <f t="shared" si="5"/>
        <v>1.3199999293364746</v>
      </c>
      <c r="R38" s="2"/>
      <c r="S38" s="19" t="e">
        <f>ABS(_xll.RtGet(SourceAlias,$G38,BID)-H38)</f>
        <v>#VALUE!</v>
      </c>
      <c r="T38" s="19" t="e">
        <f>ABS(_xll.RtGet(SourceAlias,$G38,ASK)-I38)</f>
        <v>#VALUE!</v>
      </c>
      <c r="U38" s="19" t="e">
        <f>ABS(_xll.RtGet(SourceAlias,$K38,BID)-L38)</f>
        <v>#VALUE!</v>
      </c>
      <c r="V38" s="19" t="e">
        <f>ABS(_xll.RtGet(SourceAlias,$K38,ASK)-M38)</f>
        <v>#VALUE!</v>
      </c>
      <c r="W38" s="19" t="e">
        <f>ABS(_xll.RtGet(SourceAlias,$O38,BID)-P38)</f>
        <v>#VALUE!</v>
      </c>
      <c r="X38" s="19" t="e">
        <f>ABS(_xll.RtGet(SourceAlias,$O38,ASK)-Q38)</f>
        <v>#VALUE!</v>
      </c>
      <c r="Y38" s="65" t="s">
        <v>103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103</v>
      </c>
      <c r="F39" s="25" t="s">
        <v>85</v>
      </c>
      <c r="G39" s="20" t="str">
        <f t="shared" si="7"/>
        <v>JPYON30YD=</v>
      </c>
      <c r="H39" s="21">
        <f>'ON Pricing'!I39*100</f>
        <v>1.2378082191791309</v>
      </c>
      <c r="I39" s="21">
        <f t="shared" si="3"/>
        <v>1.2378082191791309</v>
      </c>
      <c r="J39" s="25" t="s">
        <v>49</v>
      </c>
      <c r="K39" s="20" t="str">
        <f t="shared" si="6"/>
        <v>JPY3M30Y=</v>
      </c>
      <c r="L39" s="21">
        <f>'3M Pricing'!I39*100</f>
        <v>1.3618418716432119</v>
      </c>
      <c r="M39" s="21">
        <f t="shared" si="4"/>
        <v>1.3618418716432119</v>
      </c>
      <c r="N39" s="25" t="s">
        <v>49</v>
      </c>
      <c r="O39" s="20" t="str">
        <f t="shared" si="8"/>
        <v>JPY6M30Y=</v>
      </c>
      <c r="P39" s="21">
        <f>'6M Pricing'!I39*100</f>
        <v>1.4049999349311111</v>
      </c>
      <c r="Q39" s="21">
        <f t="shared" si="5"/>
        <v>1.4049999349311111</v>
      </c>
      <c r="R39" s="2"/>
      <c r="S39" s="21" t="e">
        <f>ABS(_xll.RtGet(SourceAlias,$G39,BID)-H39)</f>
        <v>#VALUE!</v>
      </c>
      <c r="T39" s="21" t="e">
        <f>ABS(_xll.RtGet(SourceAlias,$G39,ASK)-I39)</f>
        <v>#VALUE!</v>
      </c>
      <c r="U39" s="21" t="e">
        <f>ABS(_xll.RtGet(SourceAlias,$K39,BID)-L39)</f>
        <v>#VALUE!</v>
      </c>
      <c r="V39" s="21" t="e">
        <f>ABS(_xll.RtGet(SourceAlias,$K39,ASK)-M39)</f>
        <v>#VALUE!</v>
      </c>
      <c r="W39" s="21" t="e">
        <f>ABS(_xll.RtGet(SourceAlias,$O39,BID)-P39)</f>
        <v>#VALUE!</v>
      </c>
      <c r="X39" s="21" t="e">
        <f>ABS(_xll.RtGet(SourceAlias,$O39,ASK)-Q39)</f>
        <v>#VALUE!</v>
      </c>
      <c r="Y39" s="65" t="s">
        <v>103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sheetProtection password="C760" sheet="1" objects="1" scenarios="1"/>
  <protectedRanges>
    <protectedRange sqref="C2" name="Range1"/>
  </protectedRanges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E2" sqref="E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09"/>
      <c r="D2" s="109"/>
      <c r="E2" s="8" t="s">
        <v>110</v>
      </c>
      <c r="F2" s="22" t="s">
        <v>19</v>
      </c>
      <c r="G2" s="109"/>
      <c r="H2" s="109"/>
      <c r="I2" s="109"/>
      <c r="J2" s="109"/>
      <c r="K2" s="111"/>
      <c r="L2" s="109"/>
      <c r="M2" s="109"/>
      <c r="N2" s="65"/>
      <c r="O2" s="6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09"/>
      <c r="D3" s="6"/>
      <c r="E3" s="81" t="s">
        <v>111</v>
      </c>
      <c r="F3" s="22" t="str">
        <f>Currency&amp;CurveTenor</f>
        <v>JPYON</v>
      </c>
      <c r="G3" s="109"/>
      <c r="H3" s="109"/>
      <c r="I3" s="109"/>
      <c r="J3" s="109"/>
      <c r="K3" s="111"/>
      <c r="L3" s="109"/>
      <c r="M3" s="6"/>
      <c r="N3" s="65"/>
      <c r="O3" s="6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09"/>
      <c r="D4" s="109"/>
      <c r="E4" s="6"/>
      <c r="F4" s="109"/>
      <c r="G4" s="109"/>
      <c r="H4" s="109"/>
      <c r="I4" s="109"/>
      <c r="J4" s="109"/>
      <c r="K4" s="111"/>
      <c r="L4" s="109"/>
      <c r="M4" s="109"/>
      <c r="N4" s="65"/>
      <c r="O4" s="6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09"/>
      <c r="D5" s="30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3"/>
      <c r="M5" s="8" t="s">
        <v>101</v>
      </c>
      <c r="N5" s="65"/>
      <c r="O5" s="6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09"/>
      <c r="D6" s="33" t="s">
        <v>19</v>
      </c>
      <c r="E6" s="33" t="s">
        <v>95</v>
      </c>
      <c r="F6" s="74">
        <f t="shared" ref="F6" si="0">EvaluationDate</f>
        <v>42265</v>
      </c>
      <c r="G6" s="74">
        <f>_xll.qlInterestRateIndexValueDate(OvernightIndex,F6)</f>
        <v>42265</v>
      </c>
      <c r="H6" s="74">
        <f>_xll.qlInterestRateIndexMaturity(OvernightIndex,G6)</f>
        <v>42271</v>
      </c>
      <c r="I6" s="75">
        <f>_xll.qlIndexFixing(OvernightIndex,F6,TRUE,InterestRatesTrigger)</f>
        <v>7.4892723281723883E-4</v>
      </c>
      <c r="J6" s="62" t="str">
        <f>Contribution!G6</f>
        <v>JPYONOND=</v>
      </c>
      <c r="K6" s="106"/>
      <c r="L6" s="113"/>
      <c r="M6" s="80" t="str">
        <f>_xll.qlOvernightIndex(,"Tonar",0,Currency,LocalCalendar,"Actual/365 (Fixed)",YieldCurve,,Trigger)</f>
        <v>obj_00455#0000</v>
      </c>
      <c r="N6" s="65"/>
      <c r="O6" s="6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09"/>
      <c r="D7" s="36" t="s">
        <v>20</v>
      </c>
      <c r="E7" s="36" t="s">
        <v>95</v>
      </c>
      <c r="F7" s="77">
        <f>H6</f>
        <v>42271</v>
      </c>
      <c r="G7" s="77">
        <f>_xll.qlInterestRateIndexValueDate(OvernightIndex,F7)</f>
        <v>42271</v>
      </c>
      <c r="H7" s="77">
        <f>_xll.qlInterestRateIndexMaturity(OvernightIndex,G7)</f>
        <v>42272</v>
      </c>
      <c r="I7" s="76">
        <f>_xll.qlIndexFixing(OvernightIndex,F7,TRUE,InterestRatesTrigger)</f>
        <v>7.4765873973592356E-4</v>
      </c>
      <c r="J7" s="62" t="str">
        <f>Contribution!G7</f>
        <v>JPYONTND=</v>
      </c>
      <c r="K7" s="62"/>
      <c r="L7" s="114"/>
      <c r="M7" s="115"/>
      <c r="N7" s="65"/>
      <c r="O7" s="6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09"/>
      <c r="D8" s="38" t="s">
        <v>21</v>
      </c>
      <c r="E8" s="38" t="s">
        <v>95</v>
      </c>
      <c r="F8" s="78">
        <f>H7</f>
        <v>42272</v>
      </c>
      <c r="G8" s="78">
        <f>_xll.qlInterestRateIndexValueDate(OvernightIndex,F8)</f>
        <v>42272</v>
      </c>
      <c r="H8" s="78">
        <f>_xll.qlInterestRateIndexMaturity(OvernightIndex,G8)</f>
        <v>42275</v>
      </c>
      <c r="I8" s="79">
        <f>_xll.qlIndexFixing(OvernightIndex,F8,TRUE,InterestRatesTrigger)</f>
        <v>7.4638171728998637E-4</v>
      </c>
      <c r="J8" s="62" t="str">
        <f>Contribution!G8</f>
        <v>JPYONSND=</v>
      </c>
      <c r="K8" s="62"/>
      <c r="L8" s="113"/>
      <c r="M8" s="8" t="s">
        <v>107</v>
      </c>
      <c r="N8" s="65"/>
      <c r="O8" s="8" t="s">
        <v>117</v>
      </c>
      <c r="P8" s="8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09"/>
      <c r="D9" s="36" t="s">
        <v>22</v>
      </c>
      <c r="E9" s="36" t="s">
        <v>86</v>
      </c>
      <c r="F9" s="77"/>
      <c r="G9" s="77">
        <f>_xll.qlSwapStartDate(M9)</f>
        <v>42272</v>
      </c>
      <c r="H9" s="77">
        <f>_xll.qlSwapMaturityDate(M9)</f>
        <v>42279</v>
      </c>
      <c r="I9" s="76">
        <f>_xll.qlOvernightIndexedSwapFairRate(M9,InterestRatesTrigger)</f>
        <v>7.344606451705919E-4</v>
      </c>
      <c r="J9" s="63" t="str">
        <f>Contribution!G9</f>
        <v>JPYONSWD=</v>
      </c>
      <c r="K9" s="63"/>
      <c r="L9" s="113"/>
      <c r="M9" s="36" t="str">
        <f>_xll.qlMakeOIS(,SettlementDays,IF(D9="SW","1W",D9),OvernightIndex,,ForwardStart,FixDayCounter,,,Trigger)</f>
        <v>obj_0046b#0000</v>
      </c>
      <c r="N9" s="65"/>
      <c r="O9" s="22" t="s">
        <v>119</v>
      </c>
      <c r="P9" s="22" t="s">
        <v>120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09"/>
      <c r="D10" s="36" t="s">
        <v>23</v>
      </c>
      <c r="E10" s="36" t="s">
        <v>86</v>
      </c>
      <c r="F10" s="77"/>
      <c r="G10" s="77">
        <f>_xll.qlSwapStartDate(M10)</f>
        <v>42272</v>
      </c>
      <c r="H10" s="77">
        <f>_xll.qlSwapMaturityDate(M10)</f>
        <v>42286</v>
      </c>
      <c r="I10" s="76">
        <f>_xll.qlOvernightIndexedSwapFairRate(M10,InterestRatesTrigger)</f>
        <v>7.3043595610286114E-4</v>
      </c>
      <c r="J10" s="62" t="str">
        <f>Contribution!G10</f>
        <v>JPYON2WD=</v>
      </c>
      <c r="K10" s="62"/>
      <c r="L10" s="113"/>
      <c r="M10" s="36" t="str">
        <f>_xll.qlMakeOIS(,SettlementDays,IF(D10="SW","1W",D10),OvernightIndex,,ForwardStart,FixDayCounter,,,Trigger)</f>
        <v>obj_00477#0000</v>
      </c>
      <c r="N10" s="65"/>
      <c r="O10" s="6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09"/>
      <c r="D11" s="36" t="s">
        <v>24</v>
      </c>
      <c r="E11" s="36" t="s">
        <v>86</v>
      </c>
      <c r="F11" s="77"/>
      <c r="G11" s="77">
        <f>_xll.qlSwapStartDate(M11)</f>
        <v>42272</v>
      </c>
      <c r="H11" s="77">
        <f>_xll.qlSwapMaturityDate(M11)</f>
        <v>42293</v>
      </c>
      <c r="I11" s="76">
        <f>_xll.qlOvernightIndexedSwapFairRate(M11,InterestRatesTrigger)</f>
        <v>7.2506782345398721E-4</v>
      </c>
      <c r="J11" s="62" t="str">
        <f>Contribution!G11</f>
        <v>JPYON3WD=</v>
      </c>
      <c r="K11" s="62"/>
      <c r="L11" s="113"/>
      <c r="M11" s="36" t="str">
        <f>_xll.qlMakeOIS(,SettlementDays,IF(D11="SW","1W",D11),OvernightIndex,,ForwardStart,FixDayCounter,,,Trigger)</f>
        <v>obj_0046c#0000</v>
      </c>
      <c r="N11" s="65"/>
      <c r="O11" s="6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09"/>
      <c r="D12" s="36" t="s">
        <v>25</v>
      </c>
      <c r="E12" s="36" t="s">
        <v>86</v>
      </c>
      <c r="F12" s="77"/>
      <c r="G12" s="77">
        <f>_xll.qlSwapStartDate(M12)</f>
        <v>42272</v>
      </c>
      <c r="H12" s="77">
        <f>_xll.qlSwapMaturityDate(M12)</f>
        <v>42303</v>
      </c>
      <c r="I12" s="76">
        <f>_xll.qlOvernightIndexedSwapFairRate(M12,InterestRatesTrigger)</f>
        <v>7.1506849210383741E-4</v>
      </c>
      <c r="J12" s="62" t="str">
        <f>Contribution!G12</f>
        <v>JPYON1MD=</v>
      </c>
      <c r="K12" s="62" t="str">
        <f t="shared" ref="K12:K17" si="1">Currency&amp;D12&amp;"OIS=ICAP"</f>
        <v>JPY1MOIS=ICAP</v>
      </c>
      <c r="L12" s="113"/>
      <c r="M12" s="36" t="str">
        <f>_xll.qlMakeOIS(,SettlementDays,IF(D12="SW","1W",D12),OvernightIndex,,ForwardStart,FixDayCounter,,,Trigger)</f>
        <v>obj_00473#0000</v>
      </c>
      <c r="N12" s="65"/>
      <c r="O12" s="6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09"/>
      <c r="D13" s="36" t="s">
        <v>26</v>
      </c>
      <c r="E13" s="36" t="s">
        <v>86</v>
      </c>
      <c r="F13" s="77"/>
      <c r="G13" s="77">
        <f>_xll.qlSwapStartDate(M13)</f>
        <v>42272</v>
      </c>
      <c r="H13" s="77">
        <f>_xll.qlSwapMaturityDate(M13)</f>
        <v>42333</v>
      </c>
      <c r="I13" s="76">
        <f>_xll.qlOvernightIndexedSwapFairRate(M13,InterestRatesTrigger)</f>
        <v>6.9041096074687477E-4</v>
      </c>
      <c r="J13" s="62" t="str">
        <f>Contribution!G13</f>
        <v>JPYON2MD=</v>
      </c>
      <c r="K13" s="62" t="str">
        <f t="shared" si="1"/>
        <v>JPY2MOIS=ICAP</v>
      </c>
      <c r="L13" s="113"/>
      <c r="M13" s="36" t="str">
        <f>_xll.qlMakeOIS(,SettlementDays,IF(D13="SW","1W",D13),OvernightIndex,,ForwardStart,FixDayCounter,,,Trigger)</f>
        <v>obj_00474#0000</v>
      </c>
      <c r="N13" s="65"/>
      <c r="O13" s="6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09"/>
      <c r="D14" s="36" t="s">
        <v>27</v>
      </c>
      <c r="E14" s="36" t="s">
        <v>86</v>
      </c>
      <c r="F14" s="77"/>
      <c r="G14" s="77">
        <f>_xll.qlSwapStartDate(M14)</f>
        <v>42272</v>
      </c>
      <c r="H14" s="77">
        <f>_xll.qlSwapMaturityDate(M14)</f>
        <v>42363</v>
      </c>
      <c r="I14" s="76">
        <f>_xll.qlOvernightIndexedSwapFairRate(M14,InterestRatesTrigger)</f>
        <v>6.9041096227150643E-4</v>
      </c>
      <c r="J14" s="62" t="str">
        <f>Contribution!G14</f>
        <v>JPYON3MD=</v>
      </c>
      <c r="K14" s="62" t="str">
        <f t="shared" si="1"/>
        <v>JPY3MOIS=ICAP</v>
      </c>
      <c r="L14" s="113"/>
      <c r="M14" s="36" t="str">
        <f>_xll.qlMakeOIS(,SettlementDays,IF(D14="SW","1W",D14),OvernightIndex,,ForwardStart,FixDayCounter,,,Trigger)</f>
        <v>obj_00464#0000</v>
      </c>
      <c r="N14" s="65"/>
      <c r="O14" s="6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09"/>
      <c r="D15" s="36" t="s">
        <v>28</v>
      </c>
      <c r="E15" s="36" t="s">
        <v>86</v>
      </c>
      <c r="F15" s="77"/>
      <c r="G15" s="77">
        <f>_xll.qlSwapStartDate(M15)</f>
        <v>42272</v>
      </c>
      <c r="H15" s="77">
        <f>_xll.qlSwapMaturityDate(M15)</f>
        <v>42394</v>
      </c>
      <c r="I15" s="76">
        <f>_xll.qlOvernightIndexedSwapFairRate(M15,InterestRatesTrigger)</f>
        <v>6.657534243407515E-4</v>
      </c>
      <c r="J15" s="62" t="str">
        <f>Contribution!G15</f>
        <v>JPYON4MD=</v>
      </c>
      <c r="K15" s="62" t="str">
        <f t="shared" si="1"/>
        <v>JPY4MOIS=ICAP</v>
      </c>
      <c r="L15" s="113"/>
      <c r="M15" s="36" t="str">
        <f>_xll.qlMakeOIS(,SettlementDays,IF(D15="SW","1W",D15),OvernightIndex,,ForwardStart,FixDayCounter,,,Trigger)</f>
        <v>obj_00472#0000</v>
      </c>
      <c r="N15" s="65"/>
      <c r="O15" s="6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09"/>
      <c r="D16" s="36" t="s">
        <v>29</v>
      </c>
      <c r="E16" s="36" t="s">
        <v>86</v>
      </c>
      <c r="F16" s="77"/>
      <c r="G16" s="77">
        <f>_xll.qlSwapStartDate(M16)</f>
        <v>42272</v>
      </c>
      <c r="H16" s="77">
        <f>_xll.qlSwapMaturityDate(M16)</f>
        <v>42425</v>
      </c>
      <c r="I16" s="76">
        <f>_xll.qlOvernightIndexedSwapFairRate(M16,InterestRatesTrigger)</f>
        <v>6.4109589019544042E-4</v>
      </c>
      <c r="J16" s="62" t="str">
        <f>Contribution!G16</f>
        <v>JPYON5MD=</v>
      </c>
      <c r="K16" s="62" t="str">
        <f t="shared" si="1"/>
        <v>JPY5MOIS=ICAP</v>
      </c>
      <c r="L16" s="113"/>
      <c r="M16" s="36" t="str">
        <f>_xll.qlMakeOIS(,SettlementDays,IF(D16="SW","1W",D16),OvernightIndex,,ForwardStart,FixDayCounter,,,Trigger)</f>
        <v>obj_00479#0000</v>
      </c>
      <c r="N16" s="65"/>
      <c r="O16" s="6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09"/>
      <c r="D17" s="36" t="s">
        <v>18</v>
      </c>
      <c r="E17" s="36" t="s">
        <v>86</v>
      </c>
      <c r="F17" s="77"/>
      <c r="G17" s="77">
        <f>_xll.qlSwapStartDate(M17)</f>
        <v>42272</v>
      </c>
      <c r="H17" s="77">
        <f>_xll.qlSwapMaturityDate(M17)</f>
        <v>42454</v>
      </c>
      <c r="I17" s="76">
        <f>_xll.qlOvernightIndexedSwapFairRate(M17,InterestRatesTrigger)</f>
        <v>6.4109589024244134E-4</v>
      </c>
      <c r="J17" s="62" t="str">
        <f>Contribution!G17</f>
        <v>JPYON6MD=</v>
      </c>
      <c r="K17" s="62" t="str">
        <f t="shared" si="1"/>
        <v>JPY6MOIS=ICAP</v>
      </c>
      <c r="L17" s="113"/>
      <c r="M17" s="36" t="str">
        <f>_xll.qlMakeOIS(,SettlementDays,IF(D17="SW","1W",D17),OvernightIndex,,ForwardStart,FixDayCounter,,,Trigger)</f>
        <v>obj_00465#0000</v>
      </c>
      <c r="N17" s="65"/>
      <c r="O17" s="6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09"/>
      <c r="D18" s="36" t="s">
        <v>30</v>
      </c>
      <c r="E18" s="36" t="s">
        <v>86</v>
      </c>
      <c r="F18" s="77"/>
      <c r="G18" s="77">
        <f>_xll.qlSwapStartDate(M18)</f>
        <v>42272</v>
      </c>
      <c r="H18" s="77">
        <f>_xll.qlSwapMaturityDate(M18)</f>
        <v>42485</v>
      </c>
      <c r="I18" s="76">
        <f>_xll.qlOvernightIndexedSwapFairRate(M18,InterestRatesTrigger)</f>
        <v>6.3171671643235132E-4</v>
      </c>
      <c r="J18" s="62"/>
      <c r="K18" s="62"/>
      <c r="L18" s="113"/>
      <c r="M18" s="36" t="str">
        <f>_xll.qlMakeOIS(,SettlementDays,IF(D18="SW","1W",D18),OvernightIndex,,ForwardStart,FixDayCounter,,,Trigger)</f>
        <v>obj_00460#0000</v>
      </c>
      <c r="N18" s="65"/>
      <c r="O18" s="6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09"/>
      <c r="D19" s="36" t="s">
        <v>31</v>
      </c>
      <c r="E19" s="36" t="s">
        <v>86</v>
      </c>
      <c r="F19" s="77"/>
      <c r="G19" s="77">
        <f>_xll.qlSwapStartDate(M19)</f>
        <v>42272</v>
      </c>
      <c r="H19" s="77">
        <f>_xll.qlSwapMaturityDate(M19)</f>
        <v>42515</v>
      </c>
      <c r="I19" s="76">
        <f>_xll.qlOvernightIndexedSwapFairRate(M19,InterestRatesTrigger)</f>
        <v>6.138242222245529E-4</v>
      </c>
      <c r="J19" s="62"/>
      <c r="K19" s="62"/>
      <c r="L19" s="113"/>
      <c r="M19" s="36" t="str">
        <f>_xll.qlMakeOIS(,SettlementDays,IF(D19="SW","1W",D19),OvernightIndex,,ForwardStart,FixDayCounter,,,Trigger)</f>
        <v>obj_0045e#0000</v>
      </c>
      <c r="N19" s="65"/>
      <c r="O19" s="6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09"/>
      <c r="D20" s="36" t="s">
        <v>32</v>
      </c>
      <c r="E20" s="36" t="s">
        <v>86</v>
      </c>
      <c r="F20" s="77"/>
      <c r="G20" s="77">
        <f>_xll.qlSwapStartDate(M20)</f>
        <v>42272</v>
      </c>
      <c r="H20" s="77">
        <f>_xll.qlSwapMaturityDate(M20)</f>
        <v>42548</v>
      </c>
      <c r="I20" s="76">
        <f>_xll.qlOvernightIndexedSwapFairRate(M20,InterestRatesTrigger)</f>
        <v>5.9178082252009834E-4</v>
      </c>
      <c r="J20" s="62" t="str">
        <f>Contribution!G20</f>
        <v>JPYON9MD=</v>
      </c>
      <c r="K20" s="62" t="str">
        <f>Currency&amp;D20&amp;"OIS=ICAP"</f>
        <v>JPY9MOIS=ICAP</v>
      </c>
      <c r="L20" s="113"/>
      <c r="M20" s="36" t="str">
        <f>_xll.qlMakeOIS(,SettlementDays,IF(D20="SW","1W",D20),OvernightIndex,,ForwardStart,FixDayCounter,,,Trigger)</f>
        <v>obj_00466#0000</v>
      </c>
      <c r="N20" s="65"/>
      <c r="O20" s="6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09"/>
      <c r="D21" s="36" t="s">
        <v>33</v>
      </c>
      <c r="E21" s="36" t="s">
        <v>86</v>
      </c>
      <c r="F21" s="77"/>
      <c r="G21" s="77">
        <f>_xll.qlSwapStartDate(M21)</f>
        <v>42272</v>
      </c>
      <c r="H21" s="77">
        <f>_xll.qlSwapMaturityDate(M21)</f>
        <v>42576</v>
      </c>
      <c r="I21" s="76">
        <f>_xll.qlOvernightIndexedSwapFairRate(M21,InterestRatesTrigger)</f>
        <v>5.7444905710772533E-4</v>
      </c>
      <c r="J21" s="62"/>
      <c r="K21" s="62"/>
      <c r="L21" s="113"/>
      <c r="M21" s="36" t="str">
        <f>_xll.qlMakeOIS(,SettlementDays,IF(D21="SW","1W",D21),OvernightIndex,,ForwardStart,FixDayCounter,,,Trigger)</f>
        <v>obj_0045d#0000</v>
      </c>
      <c r="N21" s="65"/>
      <c r="O21" s="6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09"/>
      <c r="D22" s="36" t="s">
        <v>34</v>
      </c>
      <c r="E22" s="36" t="s">
        <v>86</v>
      </c>
      <c r="F22" s="77"/>
      <c r="G22" s="77">
        <f>_xll.qlSwapStartDate(M22)</f>
        <v>42272</v>
      </c>
      <c r="H22" s="77">
        <f>_xll.qlSwapMaturityDate(M22)</f>
        <v>42607</v>
      </c>
      <c r="I22" s="76">
        <f>_xll.qlOvernightIndexedSwapFairRate(M22,InterestRatesTrigger)</f>
        <v>5.5746981658423176E-4</v>
      </c>
      <c r="J22" s="62"/>
      <c r="K22" s="62"/>
      <c r="L22" s="113"/>
      <c r="M22" s="36" t="str">
        <f>_xll.qlMakeOIS(,SettlementDays,IF(D22="SW","1W",D22),OvernightIndex,,ForwardStart,FixDayCounter,,,Trigger)</f>
        <v>obj_00475#0000</v>
      </c>
      <c r="N22" s="65"/>
      <c r="O22" s="6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09"/>
      <c r="D23" s="36" t="s">
        <v>35</v>
      </c>
      <c r="E23" s="36" t="s">
        <v>86</v>
      </c>
      <c r="F23" s="77"/>
      <c r="G23" s="77">
        <f>_xll.qlSwapStartDate(M23)</f>
        <v>42272</v>
      </c>
      <c r="H23" s="77">
        <f>_xll.qlSwapMaturityDate(M23)</f>
        <v>42639</v>
      </c>
      <c r="I23" s="76">
        <f>_xll.qlOvernightIndexedSwapFairRate(M23,InterestRatesTrigger)</f>
        <v>5.4246575387738207E-4</v>
      </c>
      <c r="J23" s="62" t="str">
        <f>Contribution!G23</f>
        <v>JPYON1YD=</v>
      </c>
      <c r="K23" s="62" t="str">
        <f>Currency&amp;D23&amp;"OIS=ICAP"</f>
        <v>JPY1YOIS=ICAP</v>
      </c>
      <c r="L23" s="113"/>
      <c r="M23" s="36" t="str">
        <f>_xll.qlMakeOIS(,SettlementDays,IF(D23="SW","1W",D23),OvernightIndex,,ForwardStart,FixDayCounter,,,Trigger)</f>
        <v>obj_00469#0000</v>
      </c>
      <c r="N23" s="65"/>
      <c r="O23" s="6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09"/>
      <c r="D24" s="24" t="s">
        <v>99</v>
      </c>
      <c r="E24" s="36" t="s">
        <v>86</v>
      </c>
      <c r="F24" s="77"/>
      <c r="G24" s="77">
        <f>_xll.qlSwapStartDate(M24)</f>
        <v>42272</v>
      </c>
      <c r="H24" s="77">
        <f>_xll.qlSwapMaturityDate(M24)</f>
        <v>42730</v>
      </c>
      <c r="I24" s="76">
        <f>_xll.qlOvernightIndexedSwapFairRate(M24,InterestRatesTrigger)</f>
        <v>5.1201404311201112E-4</v>
      </c>
      <c r="J24" s="62"/>
      <c r="K24" s="62"/>
      <c r="L24" s="113"/>
      <c r="M24" s="36" t="str">
        <f>_xll.qlMakeOIS(,SettlementDays,IF(D24="SW","1W",D24),OvernightIndex,,ForwardStart,FixDayCounter,,,Trigger)</f>
        <v>obj_0046a#0000</v>
      </c>
      <c r="N24" s="65"/>
      <c r="O24" s="6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09"/>
      <c r="D25" s="24" t="s">
        <v>98</v>
      </c>
      <c r="E25" s="36" t="s">
        <v>86</v>
      </c>
      <c r="F25" s="77"/>
      <c r="G25" s="77">
        <f>_xll.qlSwapStartDate(M25)</f>
        <v>42272</v>
      </c>
      <c r="H25" s="77">
        <f>_xll.qlSwapMaturityDate(M25)</f>
        <v>42821</v>
      </c>
      <c r="I25" s="76">
        <f>_xll.qlOvernightIndexedSwapFairRate(M25,InterestRatesTrigger)</f>
        <v>4.9315068523418074E-4</v>
      </c>
      <c r="J25" s="62" t="str">
        <f>Contribution!G25</f>
        <v>JPYON1Y6MD=</v>
      </c>
      <c r="K25" s="62" t="str">
        <f t="shared" ref="K25:K39" si="2">Currency&amp;D25&amp;"OIS=ICAP"</f>
        <v>JPY18MOIS=ICAP</v>
      </c>
      <c r="L25" s="113"/>
      <c r="M25" s="36" t="str">
        <f>_xll.qlMakeOIS(,SettlementDays,IF(D25="SW","1W",D25),OvernightIndex,,ForwardStart,FixDayCounter,,,Trigger)</f>
        <v>obj_00467#0000</v>
      </c>
      <c r="N25" s="65"/>
      <c r="O25" s="6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09"/>
      <c r="D26" s="36" t="s">
        <v>36</v>
      </c>
      <c r="E26" s="36" t="s">
        <v>86</v>
      </c>
      <c r="F26" s="77"/>
      <c r="G26" s="77">
        <f>_xll.qlSwapStartDate(M26)</f>
        <v>42272</v>
      </c>
      <c r="H26" s="77">
        <f>_xll.qlSwapMaturityDate(M26)</f>
        <v>43003</v>
      </c>
      <c r="I26" s="76">
        <f>_xll.qlOvernightIndexedSwapFairRate(M26,InterestRatesTrigger)</f>
        <v>4.684931509123571E-4</v>
      </c>
      <c r="J26" s="62" t="str">
        <f>Contribution!G26</f>
        <v>JPYON2YD=</v>
      </c>
      <c r="K26" s="62" t="str">
        <f t="shared" si="2"/>
        <v>JPY2YOIS=ICAP</v>
      </c>
      <c r="L26" s="113"/>
      <c r="M26" s="36" t="str">
        <f>_xll.qlMakeOIS(,SettlementDays,IF(D26="SW","1W",D26),OvernightIndex,,ForwardStart,FixDayCounter,,,Trigger)</f>
        <v>obj_00463#0000</v>
      </c>
      <c r="N26" s="65"/>
      <c r="O26" s="6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09"/>
      <c r="D27" s="36" t="s">
        <v>37</v>
      </c>
      <c r="E27" s="36" t="s">
        <v>86</v>
      </c>
      <c r="F27" s="77"/>
      <c r="G27" s="77">
        <f>_xll.qlSwapStartDate(M27)</f>
        <v>42272</v>
      </c>
      <c r="H27" s="77">
        <f>_xll.qlSwapMaturityDate(M27)</f>
        <v>43368</v>
      </c>
      <c r="I27" s="76">
        <f>_xll.qlOvernightIndexedSwapFairRate(M27,InterestRatesTrigger)</f>
        <v>4.6849315083660401E-4</v>
      </c>
      <c r="J27" s="62" t="str">
        <f>Contribution!G27</f>
        <v>JPYON3YD=</v>
      </c>
      <c r="K27" s="62" t="str">
        <f t="shared" si="2"/>
        <v>JPY3YOIS=ICAP</v>
      </c>
      <c r="L27" s="113"/>
      <c r="M27" s="36" t="str">
        <f>_xll.qlMakeOIS(,SettlementDays,IF(D27="SW","1W",D27),OvernightIndex,,ForwardStart,FixDayCounter,,,Trigger)</f>
        <v>obj_0047a#0000</v>
      </c>
      <c r="N27" s="65"/>
      <c r="O27" s="6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09"/>
      <c r="D28" s="36" t="s">
        <v>38</v>
      </c>
      <c r="E28" s="36" t="s">
        <v>86</v>
      </c>
      <c r="F28" s="77"/>
      <c r="G28" s="77">
        <f>_xll.qlSwapStartDate(M28)</f>
        <v>42272</v>
      </c>
      <c r="H28" s="77">
        <f>_xll.qlSwapMaturityDate(M28)</f>
        <v>43733</v>
      </c>
      <c r="I28" s="76">
        <f>_xll.qlOvernightIndexedSwapFairRate(M28,InterestRatesTrigger)</f>
        <v>6.904109590178967E-4</v>
      </c>
      <c r="J28" s="62" t="str">
        <f>Contribution!G28</f>
        <v>JPYON4YD=</v>
      </c>
      <c r="K28" s="62" t="str">
        <f t="shared" si="2"/>
        <v>JPY4YOIS=ICAP</v>
      </c>
      <c r="L28" s="113"/>
      <c r="M28" s="36" t="str">
        <f>_xll.qlMakeOIS(,SettlementDays,IF(D28="SW","1W",D28),OvernightIndex,,ForwardStart,FixDayCounter,,,Trigger)</f>
        <v>obj_00470#0000</v>
      </c>
      <c r="N28" s="65"/>
      <c r="O28" s="6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09"/>
      <c r="D29" s="36" t="s">
        <v>39</v>
      </c>
      <c r="E29" s="36" t="s">
        <v>86</v>
      </c>
      <c r="F29" s="77"/>
      <c r="G29" s="77">
        <f>_xll.qlSwapStartDate(M29)</f>
        <v>42272</v>
      </c>
      <c r="H29" s="77">
        <f>_xll.qlSwapMaturityDate(M29)</f>
        <v>44099</v>
      </c>
      <c r="I29" s="76">
        <f>_xll.qlOvernightIndexedSwapFairRate(M29,InterestRatesTrigger)</f>
        <v>1.0849315067635961E-3</v>
      </c>
      <c r="J29" s="62" t="str">
        <f>Contribution!G29</f>
        <v>JPYON5YD=</v>
      </c>
      <c r="K29" s="62" t="str">
        <f t="shared" si="2"/>
        <v>JPY5YOIS=ICAP</v>
      </c>
      <c r="L29" s="113"/>
      <c r="M29" s="36" t="str">
        <f>_xll.qlMakeOIS(,SettlementDays,IF(D29="SW","1W",D29),OvernightIndex,,ForwardStart,FixDayCounter,,,Trigger)</f>
        <v>obj_0046e#0000</v>
      </c>
      <c r="N29" s="65"/>
      <c r="O29" s="6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09"/>
      <c r="D30" s="36" t="s">
        <v>40</v>
      </c>
      <c r="E30" s="36" t="s">
        <v>86</v>
      </c>
      <c r="F30" s="77"/>
      <c r="G30" s="77">
        <f>_xll.qlSwapStartDate(M30)</f>
        <v>42272</v>
      </c>
      <c r="H30" s="77">
        <f>_xll.qlSwapMaturityDate(M30)</f>
        <v>44466</v>
      </c>
      <c r="I30" s="76">
        <f>_xll.qlOvernightIndexedSwapFairRate(M30,InterestRatesTrigger)</f>
        <v>1.5287671232414842E-3</v>
      </c>
      <c r="J30" s="62" t="str">
        <f>Contribution!G30</f>
        <v>JPYON6YD=</v>
      </c>
      <c r="K30" s="62" t="str">
        <f t="shared" si="2"/>
        <v>JPY6YOIS=ICAP</v>
      </c>
      <c r="L30" s="113"/>
      <c r="M30" s="36" t="str">
        <f>_xll.qlMakeOIS(,SettlementDays,IF(D30="SW","1W",D30),OvernightIndex,,ForwardStart,FixDayCounter,,,Trigger)</f>
        <v>obj_00468#0000</v>
      </c>
      <c r="N30" s="65"/>
      <c r="O30" s="6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09"/>
      <c r="D31" s="36" t="s">
        <v>41</v>
      </c>
      <c r="E31" s="36" t="s">
        <v>86</v>
      </c>
      <c r="F31" s="77"/>
      <c r="G31" s="77">
        <f>_xll.qlSwapStartDate(M31)</f>
        <v>42272</v>
      </c>
      <c r="H31" s="77">
        <f>_xll.qlSwapMaturityDate(M31)</f>
        <v>44830</v>
      </c>
      <c r="I31" s="76">
        <f>_xll.qlOvernightIndexedSwapFairRate(M31,InterestRatesTrigger)</f>
        <v>2.0958904109359511E-3</v>
      </c>
      <c r="J31" s="62" t="str">
        <f>Contribution!G31</f>
        <v>JPYON7YD=</v>
      </c>
      <c r="K31" s="62" t="str">
        <f t="shared" si="2"/>
        <v>JPY7YOIS=ICAP</v>
      </c>
      <c r="L31" s="113"/>
      <c r="M31" s="36" t="str">
        <f>_xll.qlMakeOIS(,SettlementDays,IF(D31="SW","1W",D31),OvernightIndex,,ForwardStart,FixDayCounter,,,Trigger)</f>
        <v>obj_00478#0000</v>
      </c>
      <c r="N31" s="65"/>
      <c r="O31" s="6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09"/>
      <c r="D32" s="36" t="s">
        <v>42</v>
      </c>
      <c r="E32" s="36" t="s">
        <v>86</v>
      </c>
      <c r="F32" s="77"/>
      <c r="G32" s="77">
        <f>_xll.qlSwapStartDate(M32)</f>
        <v>42272</v>
      </c>
      <c r="H32" s="77">
        <f>_xll.qlSwapMaturityDate(M32)</f>
        <v>45194</v>
      </c>
      <c r="I32" s="76">
        <f>_xll.qlOvernightIndexedSwapFairRate(M32,InterestRatesTrigger)</f>
        <v>2.638356164373985E-3</v>
      </c>
      <c r="J32" s="62" t="str">
        <f>Contribution!G32</f>
        <v>JPYON8YD=</v>
      </c>
      <c r="K32" s="62" t="str">
        <f t="shared" si="2"/>
        <v>JPY8YOIS=ICAP</v>
      </c>
      <c r="L32" s="113"/>
      <c r="M32" s="36" t="str">
        <f>_xll.qlMakeOIS(,SettlementDays,IF(D32="SW","1W",D32),OvernightIndex,,ForwardStart,FixDayCounter,,,Trigger)</f>
        <v>obj_0045f#0000</v>
      </c>
      <c r="N32" s="65"/>
      <c r="O32" s="6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09"/>
      <c r="D33" s="36" t="s">
        <v>43</v>
      </c>
      <c r="E33" s="36" t="s">
        <v>86</v>
      </c>
      <c r="F33" s="77"/>
      <c r="G33" s="77">
        <f>_xll.qlSwapStartDate(M33)</f>
        <v>42272</v>
      </c>
      <c r="H33" s="77">
        <f>_xll.qlSwapMaturityDate(M33)</f>
        <v>45560</v>
      </c>
      <c r="I33" s="76">
        <f>_xll.qlOvernightIndexedSwapFairRate(M33,InterestRatesTrigger)</f>
        <v>3.254794520546671E-3</v>
      </c>
      <c r="J33" s="62" t="str">
        <f>Contribution!G33</f>
        <v>JPYON9YD=</v>
      </c>
      <c r="K33" s="62" t="str">
        <f t="shared" si="2"/>
        <v>JPY9YOIS=ICAP</v>
      </c>
      <c r="L33" s="113"/>
      <c r="M33" s="36" t="str">
        <f>_xll.qlMakeOIS(,SettlementDays,IF(D33="SW","1W",D33),OvernightIndex,,ForwardStart,FixDayCounter,,,Trigger)</f>
        <v>obj_0047b#0000</v>
      </c>
      <c r="N33" s="65"/>
      <c r="O33" s="6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09"/>
      <c r="D34" s="36" t="s">
        <v>44</v>
      </c>
      <c r="E34" s="36" t="s">
        <v>86</v>
      </c>
      <c r="F34" s="77"/>
      <c r="G34" s="77">
        <f>_xll.qlSwapStartDate(M34)</f>
        <v>42272</v>
      </c>
      <c r="H34" s="77">
        <f>_xll.qlSwapMaturityDate(M34)</f>
        <v>45925</v>
      </c>
      <c r="I34" s="76">
        <f>_xll.qlOvernightIndexedSwapFairRate(M34,InterestRatesTrigger)</f>
        <v>3.8958904109634546E-3</v>
      </c>
      <c r="J34" s="62" t="str">
        <f>Contribution!G34</f>
        <v>JPYON10YD=</v>
      </c>
      <c r="K34" s="62" t="str">
        <f t="shared" si="2"/>
        <v>JPY10YOIS=ICAP</v>
      </c>
      <c r="L34" s="113"/>
      <c r="M34" s="36" t="str">
        <f>_xll.qlMakeOIS(,SettlementDays,IF(D34="SW","1W",D34),OvernightIndex,,ForwardStart,FixDayCounter,,,Trigger)</f>
        <v>obj_00471#0000</v>
      </c>
      <c r="N34" s="65"/>
      <c r="O34" s="6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09"/>
      <c r="D35" s="36" t="s">
        <v>45</v>
      </c>
      <c r="E35" s="36" t="s">
        <v>86</v>
      </c>
      <c r="F35" s="77"/>
      <c r="G35" s="77">
        <f>_xll.qlSwapStartDate(M35)</f>
        <v>42272</v>
      </c>
      <c r="H35" s="77">
        <f>_xll.qlSwapMaturityDate(M35)</f>
        <v>46657</v>
      </c>
      <c r="I35" s="76">
        <f>_xll.qlOvernightIndexedSwapFairRate(M35,InterestRatesTrigger)</f>
        <v>5.2027397260223842E-3</v>
      </c>
      <c r="J35" s="62" t="str">
        <f>Contribution!G35</f>
        <v>JPYON12YD=</v>
      </c>
      <c r="K35" s="62" t="str">
        <f t="shared" si="2"/>
        <v>JPY12YOIS=ICAP</v>
      </c>
      <c r="L35" s="113"/>
      <c r="M35" s="36" t="str">
        <f>_xll.qlMakeOIS(,SettlementDays,IF(D35="SW","1W",D35),OvernightIndex,,ForwardStart,FixDayCounter,,,Trigger)</f>
        <v>obj_00476#0000</v>
      </c>
      <c r="N35" s="65"/>
      <c r="O35" s="6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09"/>
      <c r="D36" s="36" t="s">
        <v>46</v>
      </c>
      <c r="E36" s="36" t="s">
        <v>86</v>
      </c>
      <c r="F36" s="77"/>
      <c r="G36" s="77">
        <f>_xll.qlSwapStartDate(M36)</f>
        <v>42272</v>
      </c>
      <c r="H36" s="77">
        <f>_xll.qlSwapMaturityDate(M36)</f>
        <v>47751</v>
      </c>
      <c r="I36" s="76">
        <f>_xll.qlOvernightIndexedSwapFairRate(M36,InterestRatesTrigger)</f>
        <v>7.3232876712292297E-3</v>
      </c>
      <c r="J36" s="62" t="str">
        <f>Contribution!G36</f>
        <v>JPYON15YD=</v>
      </c>
      <c r="K36" s="62" t="str">
        <f t="shared" si="2"/>
        <v>JPY15YOIS=ICAP</v>
      </c>
      <c r="L36" s="113"/>
      <c r="M36" s="36" t="str">
        <f>_xll.qlMakeOIS(,SettlementDays,IF(D36="SW","1W",D36),OvernightIndex,,ForwardStart,FixDayCounter,,,Trigger)</f>
        <v>obj_00462#0000</v>
      </c>
      <c r="N36" s="65"/>
      <c r="O36" s="6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09"/>
      <c r="D37" s="36" t="s">
        <v>47</v>
      </c>
      <c r="E37" s="36" t="s">
        <v>86</v>
      </c>
      <c r="F37" s="77"/>
      <c r="G37" s="77">
        <f>_xll.qlSwapStartDate(M37)</f>
        <v>42272</v>
      </c>
      <c r="H37" s="77">
        <f>_xll.qlSwapMaturityDate(M37)</f>
        <v>49577</v>
      </c>
      <c r="I37" s="76">
        <f>_xll.qlOvernightIndexedSwapFairRate(M37,InterestRatesTrigger)</f>
        <v>1.0035616438352341E-2</v>
      </c>
      <c r="J37" s="62" t="str">
        <f>Contribution!G37</f>
        <v>JPYON20YD=</v>
      </c>
      <c r="K37" s="62" t="str">
        <f t="shared" si="2"/>
        <v>JPY20YOIS=ICAP</v>
      </c>
      <c r="L37" s="113"/>
      <c r="M37" s="36" t="str">
        <f>_xll.qlMakeOIS(,SettlementDays,IF(D37="SW","1W",D37),OvernightIndex,,ForwardStart,FixDayCounter,,,Trigger)</f>
        <v>obj_0046f#0000</v>
      </c>
      <c r="N37" s="65"/>
      <c r="O37" s="6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09"/>
      <c r="D38" s="36" t="s">
        <v>48</v>
      </c>
      <c r="E38" s="36" t="s">
        <v>86</v>
      </c>
      <c r="F38" s="77"/>
      <c r="G38" s="77">
        <f>_xll.qlSwapStartDate(M38)</f>
        <v>42272</v>
      </c>
      <c r="H38" s="77">
        <f>_xll.qlSwapMaturityDate(M38)</f>
        <v>51404</v>
      </c>
      <c r="I38" s="76">
        <f>_xll.qlOvernightIndexedSwapFairRate(M38,InterestRatesTrigger)</f>
        <v>1.1539726027403257E-2</v>
      </c>
      <c r="J38" s="62" t="str">
        <f>Contribution!G38</f>
        <v>JPYON25YD=</v>
      </c>
      <c r="K38" s="62" t="str">
        <f t="shared" si="2"/>
        <v>JPY25YOIS=ICAP</v>
      </c>
      <c r="L38" s="113"/>
      <c r="M38" s="36" t="str">
        <f>_xll.qlMakeOIS(,SettlementDays,IF(D38="SW","1W",D38),OvernightIndex,,ForwardStart,FixDayCounter,,,Trigger)</f>
        <v>obj_00461#0000</v>
      </c>
      <c r="N38" s="65"/>
      <c r="O38" s="6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09"/>
      <c r="D39" s="36" t="s">
        <v>49</v>
      </c>
      <c r="E39" s="36" t="s">
        <v>86</v>
      </c>
      <c r="F39" s="77"/>
      <c r="G39" s="77">
        <f>_xll.qlSwapStartDate(M39)</f>
        <v>42272</v>
      </c>
      <c r="H39" s="77">
        <f>_xll.qlSwapMaturityDate(M39)</f>
        <v>53230</v>
      </c>
      <c r="I39" s="76">
        <f>_xll.qlOvernightIndexedSwapFairRate(M39,InterestRatesTrigger)</f>
        <v>1.2378082191791309E-2</v>
      </c>
      <c r="J39" s="64" t="str">
        <f>Contribution!G39</f>
        <v>JPYON30YD=</v>
      </c>
      <c r="K39" s="64" t="str">
        <f t="shared" si="2"/>
        <v>JPY30YOIS=ICAP</v>
      </c>
      <c r="L39" s="113"/>
      <c r="M39" s="36" t="str">
        <f>_xll.qlMakeOIS(,SettlementDays,IF(D39="SW","1W",D39),OvernightIndex,,ForwardStart,FixDayCounter,,,Trigger)</f>
        <v>obj_0046d#0000</v>
      </c>
      <c r="N39" s="65"/>
      <c r="O39" s="6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09"/>
      <c r="D40" s="110"/>
      <c r="E40" s="110"/>
      <c r="F40" s="110"/>
      <c r="G40" s="110"/>
      <c r="H40" s="110"/>
      <c r="I40" s="110"/>
      <c r="J40" s="110"/>
      <c r="K40" s="111"/>
      <c r="L40" s="109"/>
      <c r="M40" s="110"/>
      <c r="N40" s="65"/>
      <c r="O40" s="6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09"/>
      <c r="D41" s="109"/>
      <c r="E41" s="109"/>
      <c r="F41" s="109"/>
      <c r="G41" s="109"/>
      <c r="H41" s="109"/>
      <c r="I41" s="109"/>
      <c r="J41" s="109"/>
      <c r="K41" s="111"/>
      <c r="L41" s="109"/>
      <c r="M41" s="109"/>
      <c r="N41" s="6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sheetProtection password="C760" sheet="1" objects="1" scenarios="1"/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E2" sqref="E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0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09"/>
      <c r="B2" s="111"/>
      <c r="C2" s="109"/>
      <c r="D2" s="109"/>
      <c r="E2" s="8" t="s">
        <v>110</v>
      </c>
      <c r="F2" s="22" t="s">
        <v>27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65"/>
      <c r="S2" s="65"/>
      <c r="T2" s="65"/>
      <c r="U2" s="65"/>
      <c r="V2" s="65"/>
      <c r="W2" s="65"/>
      <c r="X2" s="65"/>
      <c r="Y2" s="65"/>
      <c r="Z2" s="65"/>
    </row>
    <row r="3" spans="1:26" x14ac:dyDescent="0.2">
      <c r="A3" s="109"/>
      <c r="B3" s="111"/>
      <c r="C3" s="109"/>
      <c r="D3" s="6"/>
      <c r="E3" s="8" t="s">
        <v>111</v>
      </c>
      <c r="F3" s="22" t="str">
        <f>Currency&amp;CurveTenor</f>
        <v>JPY3M</v>
      </c>
      <c r="G3" s="109"/>
      <c r="H3" s="109"/>
      <c r="I3" s="109"/>
      <c r="J3" s="109"/>
      <c r="K3" s="109"/>
      <c r="L3" s="109"/>
      <c r="M3" s="6"/>
      <c r="N3" s="109"/>
      <c r="O3" s="6"/>
      <c r="P3" s="109"/>
      <c r="Q3" s="109"/>
      <c r="R3" s="65"/>
      <c r="S3" s="65"/>
      <c r="T3" s="2"/>
      <c r="U3" s="2"/>
      <c r="V3" s="2"/>
      <c r="W3" s="2"/>
      <c r="X3" s="2"/>
      <c r="Y3" s="2"/>
      <c r="Z3" s="2"/>
    </row>
    <row r="4" spans="1:26" x14ac:dyDescent="0.2">
      <c r="A4" s="109"/>
      <c r="B4" s="111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65"/>
      <c r="S4" s="65"/>
      <c r="T4" s="2"/>
      <c r="U4" s="2"/>
      <c r="V4" s="2"/>
      <c r="W4" s="2"/>
      <c r="X4" s="2"/>
      <c r="Y4" s="2"/>
      <c r="Z4" s="2"/>
    </row>
    <row r="5" spans="1:26" x14ac:dyDescent="0.2">
      <c r="A5" s="109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09"/>
      <c r="M5" s="26" t="s">
        <v>92</v>
      </c>
      <c r="N5" s="109"/>
      <c r="O5" s="109"/>
      <c r="P5" s="109"/>
      <c r="Q5" s="109"/>
      <c r="R5" s="65"/>
      <c r="S5" s="65"/>
      <c r="T5" s="2"/>
      <c r="U5" s="2"/>
      <c r="V5" s="2"/>
      <c r="W5" s="2"/>
      <c r="X5" s="2"/>
      <c r="Y5" s="2"/>
      <c r="Z5" s="2"/>
    </row>
    <row r="6" spans="1:26" x14ac:dyDescent="0.2">
      <c r="A6" s="109"/>
      <c r="B6" s="69">
        <f t="shared" ref="B6:B14" si="0">H6-EvaluationDate</f>
        <v>6</v>
      </c>
      <c r="C6" s="83"/>
      <c r="D6" s="33" t="s">
        <v>19</v>
      </c>
      <c r="E6" s="33" t="s">
        <v>93</v>
      </c>
      <c r="F6" s="74">
        <f t="shared" ref="F6:F14" si="1">EvaluationDate</f>
        <v>42265</v>
      </c>
      <c r="G6" s="74">
        <f>EvaluationDate</f>
        <v>42265</v>
      </c>
      <c r="H6" s="74">
        <f>_xll.qlCalendarAdvance(Calendar,EvaluationDate,"1D","f",TRUE,Trigger)</f>
        <v>42271</v>
      </c>
      <c r="I6" s="84">
        <f>_xll.qlInterpolationInterpolate($M$6,B6,TRUE)</f>
        <v>7.6504914252849081E-4</v>
      </c>
      <c r="J6" s="103" t="str">
        <f>Contribution!K6</f>
        <v>JPY3MOND=</v>
      </c>
      <c r="K6" s="104"/>
      <c r="L6" s="109"/>
      <c r="M6" s="22" t="str">
        <f>_xll.qlInterpolation(,InterpolationType,B8:B14,I8:I14,,Trigger)</f>
        <v>obj_0049b#0003</v>
      </c>
      <c r="N6" s="109"/>
      <c r="O6" s="109"/>
      <c r="P6" s="109"/>
      <c r="Q6" s="109"/>
      <c r="R6" s="65"/>
      <c r="S6" s="65"/>
      <c r="T6" s="2"/>
      <c r="U6" s="2"/>
      <c r="V6" s="2"/>
      <c r="W6" s="2"/>
      <c r="X6" s="2"/>
      <c r="Y6" s="2"/>
      <c r="Z6" s="2"/>
    </row>
    <row r="7" spans="1:26" x14ac:dyDescent="0.2">
      <c r="A7" s="109"/>
      <c r="B7" s="95">
        <f t="shared" si="0"/>
        <v>7</v>
      </c>
      <c r="C7" s="85"/>
      <c r="D7" s="36" t="s">
        <v>20</v>
      </c>
      <c r="E7" s="36" t="s">
        <v>93</v>
      </c>
      <c r="F7" s="77">
        <f t="shared" si="1"/>
        <v>42265</v>
      </c>
      <c r="G7" s="77">
        <f>H6</f>
        <v>42271</v>
      </c>
      <c r="H7" s="77">
        <f>_xll.qlCalendarAdvance(Calendar,EvaluationDate,"2D","f",TRUE,Trigger)</f>
        <v>42272</v>
      </c>
      <c r="I7" s="82">
        <f>_xll.qlInterpolationInterpolate($M$6,B7,TRUE)</f>
        <v>7.6499970448143102E-4</v>
      </c>
      <c r="J7" s="105" t="str">
        <f>Contribution!K7</f>
        <v>JPY3MTND=</v>
      </c>
      <c r="K7" s="106"/>
      <c r="L7" s="109"/>
      <c r="M7" s="8" t="s">
        <v>50</v>
      </c>
      <c r="N7" s="109"/>
      <c r="O7" s="109"/>
      <c r="P7" s="8" t="s">
        <v>112</v>
      </c>
      <c r="Q7" s="8" t="s">
        <v>52</v>
      </c>
      <c r="R7" s="65"/>
      <c r="S7" s="65"/>
      <c r="T7" s="2"/>
      <c r="U7" s="2"/>
      <c r="V7" s="2"/>
      <c r="W7" s="2"/>
      <c r="X7" s="2"/>
      <c r="Y7" s="2"/>
      <c r="Z7" s="2"/>
    </row>
    <row r="8" spans="1:26" x14ac:dyDescent="0.2">
      <c r="A8" s="109"/>
      <c r="B8" s="96">
        <f t="shared" si="0"/>
        <v>10</v>
      </c>
      <c r="C8" s="86"/>
      <c r="D8" s="33" t="s">
        <v>21</v>
      </c>
      <c r="E8" s="33" t="s">
        <v>95</v>
      </c>
      <c r="F8" s="74">
        <f t="shared" si="1"/>
        <v>42265</v>
      </c>
      <c r="G8" s="74">
        <f>_xll.qlInterestRateIndexValueDate(M8,F8,Trigger)</f>
        <v>42272</v>
      </c>
      <c r="H8" s="74">
        <f>_xll.qlInterestRateIndexMaturity(M8,G8,Trigger)</f>
        <v>42275</v>
      </c>
      <c r="I8" s="75">
        <f>_xll.qlIndexFixing(M8,F8,TRUE,InterestRatesTrigger)</f>
        <v>7.6488808047336931E-4</v>
      </c>
      <c r="J8" s="63" t="str">
        <f>Contribution!K8</f>
        <v>JPY3MSND=</v>
      </c>
      <c r="K8" s="63"/>
      <c r="L8" s="109"/>
      <c r="M8" s="34" t="str">
        <f>_xll.qlIborIndex(,,IF(LEFT(D8,1)="S",IF(RIGHT(D8,1)="N","1D","1W"),D8),2,Currency,Calendar,$P$8,FALSE,$Q$8,YieldCurve,,Trigger)</f>
        <v>obj_00457#0016</v>
      </c>
      <c r="N8" s="109"/>
      <c r="O8" s="109"/>
      <c r="P8" s="22" t="s">
        <v>135</v>
      </c>
      <c r="Q8" s="22" t="s">
        <v>120</v>
      </c>
      <c r="R8" s="65"/>
      <c r="S8" s="65"/>
      <c r="T8" s="2"/>
      <c r="U8" s="2"/>
      <c r="V8" s="2"/>
      <c r="W8" s="2"/>
      <c r="X8" s="2"/>
      <c r="Y8" s="2"/>
      <c r="Z8" s="2"/>
    </row>
    <row r="9" spans="1:26" x14ac:dyDescent="0.2">
      <c r="A9" s="109"/>
      <c r="B9" s="95">
        <f t="shared" si="0"/>
        <v>14</v>
      </c>
      <c r="C9" s="87"/>
      <c r="D9" s="36" t="s">
        <v>22</v>
      </c>
      <c r="E9" s="36" t="s">
        <v>95</v>
      </c>
      <c r="F9" s="77">
        <f t="shared" si="1"/>
        <v>42265</v>
      </c>
      <c r="G9" s="77">
        <f>_xll.qlInterestRateIndexValueDate(M9,F9,Trigger)</f>
        <v>42272</v>
      </c>
      <c r="H9" s="77">
        <f>_xll.qlInterestRateIndexMaturity(M9,G9,Trigger)</f>
        <v>42279</v>
      </c>
      <c r="I9" s="76">
        <f>_xll.qlIndexFixing(M9,F9,TRUE,InterestRatesTrigger)</f>
        <v>7.6472701841824781E-4</v>
      </c>
      <c r="J9" s="62" t="str">
        <f>Contribution!K9</f>
        <v>JPY3MSWD=</v>
      </c>
      <c r="K9" s="62"/>
      <c r="L9" s="109"/>
      <c r="M9" s="37" t="str">
        <f>_xll.qlIborIndex(,,IF(LEFT(D9,1)="S",IF(RIGHT(D9,1)="N","1D","1W"),D9),2,Currency,Calendar,$P$8,FALSE,$Q$8,YieldCurve,,Trigger)</f>
        <v>obj_0045a#0005</v>
      </c>
      <c r="N9" s="109"/>
      <c r="O9" s="109"/>
      <c r="P9" s="109"/>
      <c r="Q9" s="109"/>
      <c r="R9" s="65"/>
      <c r="S9" s="65"/>
      <c r="T9" s="2"/>
      <c r="U9" s="2"/>
      <c r="V9" s="2"/>
      <c r="W9" s="2"/>
      <c r="X9" s="2"/>
      <c r="Y9" s="2"/>
      <c r="Z9" s="2"/>
    </row>
    <row r="10" spans="1:26" x14ac:dyDescent="0.2">
      <c r="A10" s="109"/>
      <c r="B10" s="95">
        <f t="shared" si="0"/>
        <v>21</v>
      </c>
      <c r="C10" s="87"/>
      <c r="D10" s="36" t="s">
        <v>23</v>
      </c>
      <c r="E10" s="36" t="s">
        <v>95</v>
      </c>
      <c r="F10" s="77">
        <f t="shared" si="1"/>
        <v>42265</v>
      </c>
      <c r="G10" s="77">
        <f>_xll.qlInterestRateIndexValueDate(M10,F10,Trigger)</f>
        <v>42272</v>
      </c>
      <c r="H10" s="77">
        <f>_xll.qlInterestRateIndexMaturity(M10,G10,Trigger)</f>
        <v>42286</v>
      </c>
      <c r="I10" s="76">
        <f>_xll.qlIndexFixing(M10,F10,TRUE,InterestRatesTrigger)</f>
        <v>7.6412884714573332E-4</v>
      </c>
      <c r="J10" s="62" t="str">
        <f>Contribution!K10</f>
        <v>JPY3M2WD=</v>
      </c>
      <c r="K10" s="62"/>
      <c r="L10" s="109"/>
      <c r="M10" s="37" t="str">
        <f>_xll.qlIborIndex(,,IF(LEFT(D10,1)="S",IF(RIGHT(D10,1)="N","1D","1W"),D10),2,Currency,Calendar,$P$8,FALSE,$Q$8,YieldCurve,,Trigger)</f>
        <v>obj_00459#0005</v>
      </c>
      <c r="N10" s="109"/>
      <c r="O10" s="109"/>
      <c r="P10" s="109"/>
      <c r="Q10" s="109"/>
      <c r="R10" s="65"/>
      <c r="S10" s="65"/>
      <c r="T10" s="2"/>
      <c r="U10" s="2"/>
      <c r="V10" s="2"/>
      <c r="W10" s="2"/>
      <c r="X10" s="2"/>
      <c r="Y10" s="2"/>
      <c r="Z10" s="2"/>
    </row>
    <row r="11" spans="1:26" x14ac:dyDescent="0.2">
      <c r="A11" s="109"/>
      <c r="B11" s="95">
        <f t="shared" si="0"/>
        <v>28</v>
      </c>
      <c r="C11" s="87"/>
      <c r="D11" s="36" t="s">
        <v>24</v>
      </c>
      <c r="E11" s="36" t="s">
        <v>95</v>
      </c>
      <c r="F11" s="77">
        <f t="shared" si="1"/>
        <v>42265</v>
      </c>
      <c r="G11" s="77">
        <f>_xll.qlInterestRateIndexValueDate(M11,F11,Trigger)</f>
        <v>42272</v>
      </c>
      <c r="H11" s="77">
        <f>_xll.qlInterestRateIndexMaturity(M11,G11,Trigger)</f>
        <v>42293</v>
      </c>
      <c r="I11" s="76">
        <f>_xll.qlIndexFixing(M11,F11,TRUE,InterestRatesTrigger)</f>
        <v>7.6312808077310431E-4</v>
      </c>
      <c r="J11" s="62" t="str">
        <f>Contribution!K11</f>
        <v>JPY3M3WD=</v>
      </c>
      <c r="K11" s="62"/>
      <c r="L11" s="109"/>
      <c r="M11" s="39" t="str">
        <f>_xll.qlIborIndex(,,IF(LEFT(D11,1)="S",IF(RIGHT(D11,1)="N","1D","1W"),D11),2,Currency,Calendar,$P$8,FALSE,$Q$8,YieldCurve,,Trigger)</f>
        <v>obj_0045b#0005</v>
      </c>
      <c r="N11" s="109"/>
      <c r="O11" s="109"/>
      <c r="P11" s="8" t="s">
        <v>112</v>
      </c>
      <c r="Q11" s="109"/>
      <c r="R11" s="65"/>
      <c r="S11" s="65"/>
      <c r="T11" s="2"/>
      <c r="U11" s="2"/>
      <c r="V11" s="2"/>
      <c r="W11" s="2"/>
      <c r="X11" s="2"/>
      <c r="Y11" s="2"/>
      <c r="Z11" s="2"/>
    </row>
    <row r="12" spans="1:26" x14ac:dyDescent="0.2">
      <c r="A12" s="109"/>
      <c r="B12" s="95">
        <f t="shared" si="0"/>
        <v>38</v>
      </c>
      <c r="C12" s="87"/>
      <c r="D12" s="36" t="s">
        <v>25</v>
      </c>
      <c r="E12" s="36" t="s">
        <v>95</v>
      </c>
      <c r="F12" s="77">
        <f t="shared" si="1"/>
        <v>42265</v>
      </c>
      <c r="G12" s="77">
        <f>_xll.qlInterestRateIndexValueDate(M12,F12,Trigger)</f>
        <v>42272</v>
      </c>
      <c r="H12" s="77">
        <f>_xll.qlInterestRateIndexMaturity(M12,G12,Trigger)</f>
        <v>42303</v>
      </c>
      <c r="I12" s="76">
        <f>_xll.qlIndexFixing(M12,F12,TRUE,InterestRatesTrigger)</f>
        <v>7.610000000015946E-4</v>
      </c>
      <c r="J12" s="62" t="str">
        <f>Contribution!K12</f>
        <v>JPY3M1MD=</v>
      </c>
      <c r="K12" s="62"/>
      <c r="L12" s="109"/>
      <c r="M12" s="37" t="str">
        <f>_xll.qlIborIndex(,,IF(LEFT(D12,1)="S",IF(RIGHT(D12,1)="N","1D","1W"),D12),2,Currency,Calendar,$P$12,FALSE,$Q$8,YieldCurve,,Trigger)</f>
        <v>obj_00458#0005</v>
      </c>
      <c r="N12" s="109"/>
      <c r="O12" s="109"/>
      <c r="P12" s="22" t="s">
        <v>87</v>
      </c>
      <c r="Q12" s="109"/>
      <c r="R12" s="65"/>
      <c r="S12" s="65"/>
      <c r="T12" s="2"/>
      <c r="U12" s="2"/>
      <c r="V12" s="2"/>
      <c r="W12" s="2"/>
      <c r="X12" s="2"/>
      <c r="Y12" s="2"/>
      <c r="Z12" s="2"/>
    </row>
    <row r="13" spans="1:26" x14ac:dyDescent="0.2">
      <c r="A13" s="109"/>
      <c r="B13" s="95">
        <f t="shared" si="0"/>
        <v>68</v>
      </c>
      <c r="C13" s="87"/>
      <c r="D13" s="36" t="s">
        <v>26</v>
      </c>
      <c r="E13" s="36" t="s">
        <v>95</v>
      </c>
      <c r="F13" s="77">
        <f t="shared" si="1"/>
        <v>42265</v>
      </c>
      <c r="G13" s="77">
        <f>_xll.qlInterestRateIndexValueDate(M13,F13,Trigger)</f>
        <v>42272</v>
      </c>
      <c r="H13" s="77">
        <f>_xll.qlInterestRateIndexMaturity(M13,G13,Trigger)</f>
        <v>42333</v>
      </c>
      <c r="I13" s="76">
        <f>_xll.qlIndexFixing(M13,F13,TRUE,InterestRatesTrigger)</f>
        <v>7.6500000001716579E-4</v>
      </c>
      <c r="J13" s="62" t="str">
        <f>Contribution!K13</f>
        <v>JPY3M2MD=</v>
      </c>
      <c r="K13" s="62"/>
      <c r="L13" s="109"/>
      <c r="M13" s="37" t="str">
        <f>_xll.qlIborIndex(,,IF(LEFT(D13,1)="S",IF(RIGHT(D13,1)="N","1D","1W"),D13),2,Currency,Calendar,$P$12,FALSE,$Q$8,YieldCurve,,Trigger)</f>
        <v>obj_0045c#0003</v>
      </c>
      <c r="N13" s="109"/>
      <c r="O13" s="109"/>
      <c r="P13" s="109"/>
      <c r="Q13" s="109"/>
      <c r="R13" s="65"/>
      <c r="S13" s="65"/>
      <c r="T13" s="2"/>
      <c r="U13" s="2"/>
      <c r="V13" s="2"/>
      <c r="W13" s="2"/>
      <c r="X13" s="2"/>
      <c r="Y13" s="2"/>
      <c r="Z13" s="2"/>
    </row>
    <row r="14" spans="1:26" x14ac:dyDescent="0.2">
      <c r="A14" s="109"/>
      <c r="B14" s="95">
        <f t="shared" si="0"/>
        <v>98</v>
      </c>
      <c r="C14" s="87"/>
      <c r="D14" s="36" t="s">
        <v>27</v>
      </c>
      <c r="E14" s="36" t="s">
        <v>95</v>
      </c>
      <c r="F14" s="77">
        <f t="shared" si="1"/>
        <v>42265</v>
      </c>
      <c r="G14" s="77">
        <f>_xll.qlInterestRateIndexValueDate(M14,F14,Trigger)</f>
        <v>42272</v>
      </c>
      <c r="H14" s="77">
        <f>_xll.qlInterestRateIndexMaturity(M14,G14,Trigger)</f>
        <v>42363</v>
      </c>
      <c r="I14" s="76">
        <f>_xll.qlIndexFixing(M14,F14,TRUE,InterestRatesTrigger)</f>
        <v>7.913035593299666E-4</v>
      </c>
      <c r="J14" s="62" t="str">
        <f>Contribution!K14</f>
        <v>JPY3M3MD=</v>
      </c>
      <c r="K14" s="62"/>
      <c r="L14" s="109"/>
      <c r="M14" s="37" t="str">
        <f>_xll.qlIborIndex(,,IF(LEFT(D14,1)="S",IF(RIGHT(D14,1)="N","1D","1W"),D14),2,Currency,Calendar,$P$12,FALSE,$Q$8,YieldCurve,,Trigger)</f>
        <v>obj_0049a#0002</v>
      </c>
      <c r="N14" s="109"/>
      <c r="O14" s="109"/>
      <c r="P14" s="109"/>
      <c r="Q14" s="109"/>
      <c r="R14" s="65"/>
      <c r="S14" s="65"/>
      <c r="T14" s="2"/>
      <c r="U14" s="2"/>
      <c r="V14" s="2"/>
      <c r="W14" s="2"/>
      <c r="X14" s="2"/>
      <c r="Y14" s="2"/>
      <c r="Z14" s="2"/>
    </row>
    <row r="15" spans="1:26" x14ac:dyDescent="0.2">
      <c r="A15" s="109"/>
      <c r="B15" s="32">
        <v>1</v>
      </c>
      <c r="C15" s="97" t="s">
        <v>113</v>
      </c>
      <c r="D15" s="33" t="str">
        <f>B15+3&amp;"M"</f>
        <v>4M</v>
      </c>
      <c r="E15" s="33" t="s">
        <v>90</v>
      </c>
      <c r="F15" s="74">
        <f>_xll.qlInterestRateIndexFixingDate(IborIndex,G15)</f>
        <v>42299</v>
      </c>
      <c r="G15" s="74">
        <f>_xll.qlCalendarAdvance(Calendar,SettlementDate,B15&amp;"M","mf",TRUE)</f>
        <v>42303</v>
      </c>
      <c r="H15" s="74">
        <f>_xll.qlInterestRateIndexMaturity(IborIndex,G15,Trigger)</f>
        <v>42395</v>
      </c>
      <c r="I15" s="75">
        <f>_xll.qlIndexFixing(IborIndex,F15,TRUE,InterestRatesTrigger)</f>
        <v>7.9990463689305147E-4</v>
      </c>
      <c r="J15" s="63" t="str">
        <f>Contribution!K15</f>
        <v>JPY3M1X4F=</v>
      </c>
      <c r="K15" s="63" t="str">
        <f t="shared" ref="K15:K20" si="2">Currency&amp;B15&amp;C15&amp;SUBSTITUTE(D15,"M","F")&amp;"=ICAP"</f>
        <v>JPY1X4F=ICAP</v>
      </c>
      <c r="L15" s="109"/>
      <c r="M15" s="110"/>
      <c r="N15" s="109"/>
      <c r="O15" s="109"/>
      <c r="P15" s="109"/>
      <c r="Q15" s="109"/>
      <c r="R15" s="65"/>
      <c r="S15" s="65"/>
      <c r="T15" s="2"/>
      <c r="U15" s="2"/>
      <c r="V15" s="2"/>
      <c r="W15" s="2"/>
      <c r="X15" s="2"/>
      <c r="Y15" s="2"/>
      <c r="Z15" s="2"/>
    </row>
    <row r="16" spans="1:26" x14ac:dyDescent="0.2">
      <c r="A16" s="109"/>
      <c r="B16" s="35">
        <v>2</v>
      </c>
      <c r="C16" s="98" t="s">
        <v>113</v>
      </c>
      <c r="D16" s="36" t="str">
        <f t="shared" ref="D16:D24" si="3">B16+3&amp;"M"</f>
        <v>5M</v>
      </c>
      <c r="E16" s="36" t="s">
        <v>90</v>
      </c>
      <c r="F16" s="77">
        <f>_xll.qlInterestRateIndexFixingDate(IborIndex,G16)</f>
        <v>42328</v>
      </c>
      <c r="G16" s="77">
        <f>_xll.qlCalendarAdvance(Calendar,SettlementDate,B16&amp;"M","mf",TRUE)</f>
        <v>42333</v>
      </c>
      <c r="H16" s="77">
        <f>_xll.qlInterestRateIndexMaturity(IborIndex,G16,Trigger)</f>
        <v>42425</v>
      </c>
      <c r="I16" s="76">
        <f>_xll.qlIndexFixing(IborIndex,F16,TRUE,InterestRatesTrigger)</f>
        <v>8.0008438225773074E-4</v>
      </c>
      <c r="J16" s="62" t="str">
        <f>Contribution!K16</f>
        <v>JPY3M2X5F=</v>
      </c>
      <c r="K16" s="62" t="str">
        <f t="shared" si="2"/>
        <v>JPY2X5F=ICAP</v>
      </c>
      <c r="L16" s="109"/>
      <c r="M16" s="109"/>
      <c r="N16" s="109"/>
      <c r="O16" s="109"/>
      <c r="P16" s="109"/>
      <c r="Q16" s="109"/>
      <c r="R16" s="65"/>
      <c r="S16" s="65"/>
      <c r="T16" s="2"/>
      <c r="U16" s="2"/>
      <c r="V16" s="2"/>
      <c r="W16" s="2"/>
      <c r="X16" s="2"/>
      <c r="Y16" s="2"/>
      <c r="Z16" s="2"/>
    </row>
    <row r="17" spans="1:26" x14ac:dyDescent="0.2">
      <c r="A17" s="109"/>
      <c r="B17" s="35">
        <v>3</v>
      </c>
      <c r="C17" s="98" t="s">
        <v>113</v>
      </c>
      <c r="D17" s="36" t="str">
        <f t="shared" si="3"/>
        <v>6M</v>
      </c>
      <c r="E17" s="36" t="s">
        <v>90</v>
      </c>
      <c r="F17" s="77">
        <f>_xll.qlInterestRateIndexFixingDate(IborIndex,G17)</f>
        <v>42360</v>
      </c>
      <c r="G17" s="77">
        <f>_xll.qlCalendarAdvance(Calendar,SettlementDate,B17&amp;"M","mf",TRUE)</f>
        <v>42363</v>
      </c>
      <c r="H17" s="77">
        <f>_xll.qlInterestRateIndexMaturity(IborIndex,G17,Trigger)</f>
        <v>42454</v>
      </c>
      <c r="I17" s="76">
        <f>_xll.qlIndexFixing(IborIndex,F17,TRUE,InterestRatesTrigger)</f>
        <v>7.9974841258445442E-4</v>
      </c>
      <c r="J17" s="62" t="str">
        <f>Contribution!K17</f>
        <v>JPY3M3X6F=</v>
      </c>
      <c r="K17" s="62" t="str">
        <f t="shared" si="2"/>
        <v>JPY3X6F=ICAP</v>
      </c>
      <c r="L17" s="109"/>
      <c r="M17" s="109"/>
      <c r="N17" s="109"/>
      <c r="O17" s="109"/>
      <c r="P17" s="109"/>
      <c r="Q17" s="109"/>
      <c r="R17" s="65"/>
      <c r="S17" s="65"/>
      <c r="T17" s="2"/>
      <c r="U17" s="2"/>
      <c r="V17" s="2"/>
      <c r="W17" s="2"/>
      <c r="X17" s="2"/>
      <c r="Y17" s="2"/>
      <c r="Z17" s="2"/>
    </row>
    <row r="18" spans="1:26" x14ac:dyDescent="0.2">
      <c r="A18" s="109"/>
      <c r="B18" s="35">
        <v>4</v>
      </c>
      <c r="C18" s="98" t="s">
        <v>113</v>
      </c>
      <c r="D18" s="36" t="str">
        <f t="shared" si="3"/>
        <v>7M</v>
      </c>
      <c r="E18" s="36" t="s">
        <v>90</v>
      </c>
      <c r="F18" s="77">
        <f>_xll.qlInterestRateIndexFixingDate(IborIndex,G18)</f>
        <v>42390</v>
      </c>
      <c r="G18" s="77">
        <f>_xll.qlCalendarAdvance(Calendar,SettlementDate,B18&amp;"M","mf",TRUE)</f>
        <v>42394</v>
      </c>
      <c r="H18" s="77">
        <f>_xll.qlInterestRateIndexMaturity(IborIndex,G18,Trigger)</f>
        <v>42485</v>
      </c>
      <c r="I18" s="76">
        <f>_xll.qlIndexFixing(IborIndex,F18,TRUE,InterestRatesTrigger)</f>
        <v>8.0010587064760377E-4</v>
      </c>
      <c r="J18" s="62" t="str">
        <f>Contribution!K18</f>
        <v>JPY3M4X7F=</v>
      </c>
      <c r="K18" s="62" t="str">
        <f t="shared" si="2"/>
        <v>JPY4X7F=ICAP</v>
      </c>
      <c r="L18" s="109"/>
      <c r="M18" s="109"/>
      <c r="N18" s="109"/>
      <c r="O18" s="109"/>
      <c r="P18" s="109"/>
      <c r="Q18" s="109"/>
      <c r="R18" s="65"/>
      <c r="S18" s="65"/>
      <c r="T18" s="2"/>
      <c r="U18" s="2"/>
      <c r="V18" s="2"/>
      <c r="W18" s="2"/>
      <c r="X18" s="2"/>
      <c r="Y18" s="2"/>
      <c r="Z18" s="2"/>
    </row>
    <row r="19" spans="1:26" x14ac:dyDescent="0.2">
      <c r="A19" s="109"/>
      <c r="B19" s="35">
        <v>5</v>
      </c>
      <c r="C19" s="98" t="s">
        <v>113</v>
      </c>
      <c r="D19" s="36" t="str">
        <f t="shared" si="3"/>
        <v>8M</v>
      </c>
      <c r="E19" s="36" t="s">
        <v>90</v>
      </c>
      <c r="F19" s="77">
        <f>_xll.qlInterestRateIndexFixingDate(IborIndex,G19)</f>
        <v>42423</v>
      </c>
      <c r="G19" s="77">
        <f>_xll.qlCalendarAdvance(Calendar,SettlementDate,B19&amp;"M","mf",TRUE)</f>
        <v>42425</v>
      </c>
      <c r="H19" s="77">
        <f>_xll.qlInterestRateIndexMaturity(IborIndex,G19,Trigger)</f>
        <v>42515</v>
      </c>
      <c r="I19" s="76">
        <f>_xll.qlIndexFixing(IborIndex,F19,TRUE,InterestRatesTrigger)</f>
        <v>7.9975971871881768E-4</v>
      </c>
      <c r="J19" s="62" t="str">
        <f>Contribution!K19</f>
        <v>JPY3M5X8F=</v>
      </c>
      <c r="K19" s="62" t="str">
        <f t="shared" si="2"/>
        <v>JPY5X8F=ICAP</v>
      </c>
      <c r="L19" s="109"/>
      <c r="M19" s="109"/>
      <c r="N19" s="109"/>
      <c r="O19" s="109"/>
      <c r="P19" s="109"/>
      <c r="Q19" s="109"/>
      <c r="R19" s="65"/>
      <c r="S19" s="65"/>
      <c r="T19" s="2"/>
      <c r="U19" s="2"/>
      <c r="V19" s="2"/>
      <c r="W19" s="2"/>
      <c r="X19" s="2"/>
      <c r="Y19" s="2"/>
      <c r="Z19" s="2"/>
    </row>
    <row r="20" spans="1:26" x14ac:dyDescent="0.2">
      <c r="A20" s="109"/>
      <c r="B20" s="35">
        <v>6</v>
      </c>
      <c r="C20" s="98" t="s">
        <v>113</v>
      </c>
      <c r="D20" s="36" t="str">
        <f t="shared" si="3"/>
        <v>9M</v>
      </c>
      <c r="E20" s="36" t="s">
        <v>90</v>
      </c>
      <c r="F20" s="77">
        <f>_xll.qlInterestRateIndexFixingDate(IborIndex,G20)</f>
        <v>42452</v>
      </c>
      <c r="G20" s="77">
        <f>_xll.qlCalendarAdvance(Calendar,SettlementDate,B20&amp;"M","mf",TRUE)</f>
        <v>42454</v>
      </c>
      <c r="H20" s="77">
        <f>_xll.qlInterestRateIndexMaturity(IborIndex,G20,Trigger)</f>
        <v>42548</v>
      </c>
      <c r="I20" s="76">
        <f>_xll.qlIndexFixing(IborIndex,F20,TRUE,InterestRatesTrigger)</f>
        <v>8.0079914425048714E-4</v>
      </c>
      <c r="J20" s="62" t="str">
        <f>Contribution!K20</f>
        <v>JPY3M6X9F=</v>
      </c>
      <c r="K20" s="62" t="str">
        <f t="shared" si="2"/>
        <v>JPY6X9F=ICAP</v>
      </c>
      <c r="L20" s="109"/>
      <c r="M20" s="109"/>
      <c r="N20" s="109"/>
      <c r="O20" s="109"/>
      <c r="P20" s="109"/>
      <c r="Q20" s="109"/>
      <c r="R20" s="65"/>
      <c r="S20" s="65"/>
      <c r="T20" s="2"/>
      <c r="U20" s="2"/>
      <c r="V20" s="2"/>
      <c r="W20" s="2"/>
      <c r="X20" s="2"/>
      <c r="Y20" s="2"/>
      <c r="Z20" s="2"/>
    </row>
    <row r="21" spans="1:26" x14ac:dyDescent="0.2">
      <c r="A21" s="109"/>
      <c r="B21" s="35">
        <v>7</v>
      </c>
      <c r="C21" s="98" t="s">
        <v>113</v>
      </c>
      <c r="D21" s="36" t="str">
        <f t="shared" si="3"/>
        <v>10M</v>
      </c>
      <c r="E21" s="36" t="s">
        <v>90</v>
      </c>
      <c r="F21" s="77">
        <f>_xll.qlInterestRateIndexFixingDate(IborIndex,G21)</f>
        <v>42481</v>
      </c>
      <c r="G21" s="77">
        <f>_xll.qlCalendarAdvance(Calendar,SettlementDate,B21&amp;"M","mf",TRUE)</f>
        <v>42485</v>
      </c>
      <c r="H21" s="77">
        <f>_xll.qlInterestRateIndexMaturity(IborIndex,G21,Trigger)</f>
        <v>42576</v>
      </c>
      <c r="I21" s="76">
        <f>_xll.qlIndexFixing(IborIndex,F21,TRUE,InterestRatesTrigger)</f>
        <v>8.0414212123410987E-4</v>
      </c>
      <c r="J21" s="62"/>
      <c r="K21" s="62"/>
      <c r="L21" s="109"/>
      <c r="M21" s="112"/>
      <c r="N21" s="109"/>
      <c r="O21" s="109"/>
      <c r="P21" s="109"/>
      <c r="Q21" s="109"/>
      <c r="R21" s="65"/>
      <c r="S21" s="65"/>
      <c r="T21" s="2"/>
      <c r="U21" s="2"/>
      <c r="V21" s="2"/>
      <c r="W21" s="2"/>
      <c r="X21" s="2"/>
      <c r="Y21" s="2"/>
      <c r="Z21" s="2"/>
    </row>
    <row r="22" spans="1:26" x14ac:dyDescent="0.2">
      <c r="A22" s="109"/>
      <c r="B22" s="35">
        <v>8</v>
      </c>
      <c r="C22" s="98" t="s">
        <v>113</v>
      </c>
      <c r="D22" s="36" t="str">
        <f t="shared" si="3"/>
        <v>11M</v>
      </c>
      <c r="E22" s="36" t="s">
        <v>90</v>
      </c>
      <c r="F22" s="77">
        <f>_xll.qlInterestRateIndexFixingDate(IborIndex,G22)</f>
        <v>42513</v>
      </c>
      <c r="G22" s="77">
        <f>_xll.qlCalendarAdvance(Calendar,SettlementDate,B22&amp;"M","mf",TRUE)</f>
        <v>42515</v>
      </c>
      <c r="H22" s="77">
        <f>_xll.qlInterestRateIndexMaturity(IborIndex,G22,Trigger)</f>
        <v>42607</v>
      </c>
      <c r="I22" s="76">
        <f>_xll.qlIndexFixing(IborIndex,F22,TRUE,InterestRatesTrigger)</f>
        <v>7.9518060562167048E-4</v>
      </c>
      <c r="J22" s="62"/>
      <c r="K22" s="62"/>
      <c r="L22" s="109"/>
      <c r="M22" s="109"/>
      <c r="N22" s="109"/>
      <c r="O22" s="109"/>
      <c r="P22" s="109"/>
      <c r="Q22" s="109"/>
      <c r="R22" s="65"/>
      <c r="S22" s="65"/>
      <c r="T22" s="2"/>
      <c r="U22" s="2"/>
      <c r="V22" s="2"/>
      <c r="W22" s="2"/>
      <c r="X22" s="2"/>
      <c r="Y22" s="2"/>
      <c r="Z22" s="2"/>
    </row>
    <row r="23" spans="1:26" x14ac:dyDescent="0.2">
      <c r="A23" s="109"/>
      <c r="B23" s="35">
        <v>9</v>
      </c>
      <c r="C23" s="98" t="s">
        <v>113</v>
      </c>
      <c r="D23" s="36" t="str">
        <f t="shared" si="3"/>
        <v>12M</v>
      </c>
      <c r="E23" s="36" t="s">
        <v>90</v>
      </c>
      <c r="F23" s="77">
        <f>_xll.qlInterestRateIndexFixingDate(IborIndex,G23)</f>
        <v>42544</v>
      </c>
      <c r="G23" s="77">
        <f>_xll.qlCalendarAdvance(Calendar,SettlementDate,B23&amp;"M","mf",TRUE)</f>
        <v>42548</v>
      </c>
      <c r="H23" s="77">
        <f>_xll.qlInterestRateIndexMaturity(IborIndex,G23,Trigger)</f>
        <v>42640</v>
      </c>
      <c r="I23" s="76">
        <f>_xll.qlIndexFixing(IborIndex,F23,TRUE,InterestRatesTrigger)</f>
        <v>7.4222157723989059E-4</v>
      </c>
      <c r="J23" s="62" t="str">
        <f>Contribution!K23</f>
        <v>JPY3M9X12F=</v>
      </c>
      <c r="K23" s="62" t="str">
        <f>Currency&amp;B23&amp;C23&amp;SUBSTITUTE(D23,"M","F")&amp;"=ICAP"</f>
        <v>JPY9X12F=ICAP</v>
      </c>
      <c r="L23" s="109"/>
      <c r="M23" s="109"/>
      <c r="N23" s="109"/>
      <c r="O23" s="109"/>
      <c r="P23" s="109"/>
      <c r="Q23" s="109"/>
      <c r="R23" s="65"/>
      <c r="S23" s="65"/>
      <c r="T23" s="2"/>
      <c r="U23" s="2"/>
      <c r="V23" s="2"/>
      <c r="W23" s="2"/>
      <c r="X23" s="2"/>
      <c r="Y23" s="2"/>
      <c r="Z23" s="2"/>
    </row>
    <row r="24" spans="1:26" x14ac:dyDescent="0.2">
      <c r="A24" s="109"/>
      <c r="B24" s="35">
        <v>12</v>
      </c>
      <c r="C24" s="99" t="s">
        <v>113</v>
      </c>
      <c r="D24" s="36" t="str">
        <f t="shared" si="3"/>
        <v>15M</v>
      </c>
      <c r="E24" s="36" t="s">
        <v>90</v>
      </c>
      <c r="F24" s="77">
        <f>_xll.qlInterestRateIndexFixingDate(IborIndex,G24)</f>
        <v>42634</v>
      </c>
      <c r="G24" s="77">
        <f>_xll.qlCalendarAdvance(Calendar,SettlementDate,B24&amp;"M","mf",TRUE)</f>
        <v>42639</v>
      </c>
      <c r="H24" s="77">
        <f>_xll.qlInterestRateIndexMaturity(IborIndex,G24,Trigger)</f>
        <v>42730</v>
      </c>
      <c r="I24" s="76">
        <f>_xll.qlIndexFixing(IborIndex,F24,TRUE,InterestRatesTrigger)</f>
        <v>6.4931190671575659E-4</v>
      </c>
      <c r="J24" s="62" t="str">
        <f>Contribution!K24</f>
        <v>JPY3M12X15F=</v>
      </c>
      <c r="K24" s="62" t="str">
        <f>Currency&amp;B24&amp;C24&amp;SUBSTITUTE(D24,"M","F")&amp;"=ICAP"</f>
        <v>JPY12X15F=ICAP</v>
      </c>
      <c r="L24" s="109"/>
      <c r="M24" s="8" t="s">
        <v>56</v>
      </c>
      <c r="N24" s="109"/>
      <c r="O24" s="8" t="s">
        <v>51</v>
      </c>
      <c r="P24" s="8" t="s">
        <v>112</v>
      </c>
      <c r="Q24" s="8" t="s">
        <v>52</v>
      </c>
      <c r="R24" s="65"/>
      <c r="S24" s="65"/>
      <c r="T24" s="2"/>
      <c r="U24" s="2"/>
      <c r="V24" s="2"/>
      <c r="W24" s="2"/>
      <c r="X24" s="2"/>
      <c r="Y24" s="2"/>
      <c r="Z24" s="2"/>
    </row>
    <row r="25" spans="1:26" x14ac:dyDescent="0.2">
      <c r="A25" s="109"/>
      <c r="B25" s="88"/>
      <c r="C25" s="90"/>
      <c r="D25" s="33" t="s">
        <v>98</v>
      </c>
      <c r="E25" s="33" t="s">
        <v>94</v>
      </c>
      <c r="F25" s="74">
        <f t="shared" ref="F25" si="4">EvaluationDate</f>
        <v>42265</v>
      </c>
      <c r="G25" s="74">
        <f>_xll.qlInterestRateIndexValueDate(M25,F25,Trigger)</f>
        <v>42272</v>
      </c>
      <c r="H25" s="74">
        <f>_xll.qlInterestRateIndexMaturity(M25,G25,Trigger)</f>
        <v>42821</v>
      </c>
      <c r="I25" s="75">
        <f>_xll.qlIndexFixing(M25,F25,TRUE,InterestRatesTrigger)</f>
        <v>7.4999297399355974E-4</v>
      </c>
      <c r="J25" s="63" t="str">
        <f>Contribution!K25</f>
        <v>JPY3M18M=</v>
      </c>
      <c r="K25" s="63"/>
      <c r="L25" s="109"/>
      <c r="M25" s="37" t="str">
        <f>_xll.qlSwapIndex(,"Libor",D25,SettlementDays,Currency,Calendar,FixedLegTenor,FixedLegBDC,FixedLegDayCounter,IborIndex,"JPYON",,Trigger)</f>
        <v>obj_00481#0003</v>
      </c>
      <c r="N25" s="109"/>
      <c r="O25" s="37" t="s">
        <v>18</v>
      </c>
      <c r="P25" s="37" t="s">
        <v>87</v>
      </c>
      <c r="Q25" s="37" t="s">
        <v>53</v>
      </c>
      <c r="R25" s="65"/>
      <c r="S25" s="65"/>
      <c r="T25" s="2"/>
      <c r="U25" s="2"/>
      <c r="V25" s="2"/>
      <c r="W25" s="2"/>
      <c r="X25" s="2"/>
      <c r="Y25" s="2"/>
      <c r="Z25" s="2"/>
    </row>
    <row r="26" spans="1:26" x14ac:dyDescent="0.2">
      <c r="A26" s="109"/>
      <c r="B26" s="89"/>
      <c r="C26" s="91"/>
      <c r="D26" s="36" t="s">
        <v>36</v>
      </c>
      <c r="E26" s="36" t="s">
        <v>94</v>
      </c>
      <c r="F26" s="77">
        <f t="shared" ref="F26:F39" si="5">EvaluationDate</f>
        <v>42265</v>
      </c>
      <c r="G26" s="77">
        <f>_xll.qlInterestRateIndexValueDate(M26,F26,Trigger)</f>
        <v>42272</v>
      </c>
      <c r="H26" s="77">
        <f>_xll.qlInterestRateIndexMaturity(M26,G26,Trigger)</f>
        <v>43003</v>
      </c>
      <c r="I26" s="76">
        <f>_xll.qlIndexFixing(M26,F26,TRUE,InterestRatesTrigger)</f>
        <v>7.454673590397802E-4</v>
      </c>
      <c r="J26" s="62" t="str">
        <f>Contribution!K26</f>
        <v>JPY3M2Y=</v>
      </c>
      <c r="K26" s="62"/>
      <c r="L26" s="109"/>
      <c r="M26" s="37" t="str">
        <f>_xll.qlSwapIndex(,"Libor",D26,SettlementDays,Currency,Calendar,FixedLegTenor,FixedLegBDC,FixedLegDayCounter,IborIndex,"JPYON",,Trigger)</f>
        <v>obj_0047f#0003</v>
      </c>
      <c r="N26" s="109"/>
      <c r="O26" s="110"/>
      <c r="P26" s="110"/>
      <c r="Q26" s="110"/>
      <c r="R26" s="65"/>
      <c r="S26" s="65"/>
      <c r="T26" s="2"/>
      <c r="U26" s="2"/>
      <c r="V26" s="2"/>
      <c r="W26" s="2"/>
      <c r="X26" s="2"/>
      <c r="Y26" s="2"/>
      <c r="Z26" s="2"/>
    </row>
    <row r="27" spans="1:26" x14ac:dyDescent="0.2">
      <c r="A27" s="109"/>
      <c r="B27" s="89"/>
      <c r="C27" s="85"/>
      <c r="D27" s="36" t="s">
        <v>37</v>
      </c>
      <c r="E27" s="36" t="s">
        <v>94</v>
      </c>
      <c r="F27" s="77">
        <f t="shared" si="5"/>
        <v>42265</v>
      </c>
      <c r="G27" s="77">
        <f>_xll.qlInterestRateIndexValueDate(M27,F27,Trigger)</f>
        <v>42272</v>
      </c>
      <c r="H27" s="77">
        <f>_xll.qlInterestRateIndexMaturity(M27,G27,Trigger)</f>
        <v>43368</v>
      </c>
      <c r="I27" s="76">
        <f>_xll.qlIndexFixing(M27,F27,TRUE,InterestRatesTrigger)</f>
        <v>8.1976891525618379E-4</v>
      </c>
      <c r="J27" s="62" t="str">
        <f>Contribution!K27</f>
        <v>JPY3M3Y=</v>
      </c>
      <c r="K27" s="62"/>
      <c r="L27" s="109"/>
      <c r="M27" s="37" t="str">
        <f>_xll.qlSwapIndex(,"Libor",D27,SettlementDays,Currency,Calendar,FixedLegTenor,FixedLegBDC,FixedLegDayCounter,IborIndex,"JPYON",,Trigger)</f>
        <v>obj_0048a#0003</v>
      </c>
      <c r="N27" s="109"/>
      <c r="O27" s="109"/>
      <c r="P27" s="109"/>
      <c r="Q27" s="109"/>
      <c r="R27" s="65"/>
      <c r="S27" s="65"/>
      <c r="T27" s="2"/>
      <c r="U27" s="2"/>
      <c r="V27" s="2"/>
      <c r="W27" s="2"/>
      <c r="X27" s="2"/>
      <c r="Y27" s="2"/>
      <c r="Z27" s="2"/>
    </row>
    <row r="28" spans="1:26" x14ac:dyDescent="0.2">
      <c r="A28" s="109"/>
      <c r="B28" s="89"/>
      <c r="C28" s="85"/>
      <c r="D28" s="36" t="s">
        <v>38</v>
      </c>
      <c r="E28" s="36" t="s">
        <v>94</v>
      </c>
      <c r="F28" s="77">
        <f t="shared" si="5"/>
        <v>42265</v>
      </c>
      <c r="G28" s="77">
        <f>_xll.qlInterestRateIndexValueDate(M28,F28,Trigger)</f>
        <v>42272</v>
      </c>
      <c r="H28" s="77">
        <f>_xll.qlInterestRateIndexMaturity(M28,G28,Trigger)</f>
        <v>43733</v>
      </c>
      <c r="I28" s="76">
        <f>_xll.qlIndexFixing(M28,F28,TRUE,InterestRatesTrigger)</f>
        <v>1.1194066854462665E-3</v>
      </c>
      <c r="J28" s="62" t="str">
        <f>Contribution!K28</f>
        <v>JPY3M4Y=</v>
      </c>
      <c r="K28" s="62"/>
      <c r="L28" s="109"/>
      <c r="M28" s="37" t="str">
        <f>_xll.qlSwapIndex(,"Libor",D28,SettlementDays,Currency,Calendar,FixedLegTenor,FixedLegBDC,FixedLegDayCounter,IborIndex,"JPYON",,Trigger)</f>
        <v>obj_00482#0003</v>
      </c>
      <c r="N28" s="109"/>
      <c r="O28" s="109"/>
      <c r="P28" s="109"/>
      <c r="Q28" s="109"/>
      <c r="R28" s="65"/>
      <c r="S28" s="65"/>
      <c r="T28" s="2"/>
      <c r="U28" s="2"/>
      <c r="V28" s="2"/>
      <c r="W28" s="2"/>
      <c r="X28" s="2"/>
      <c r="Y28" s="2"/>
      <c r="Z28" s="2"/>
    </row>
    <row r="29" spans="1:26" x14ac:dyDescent="0.2">
      <c r="A29" s="109"/>
      <c r="B29" s="89"/>
      <c r="C29" s="85"/>
      <c r="D29" s="36" t="s">
        <v>39</v>
      </c>
      <c r="E29" s="36" t="s">
        <v>94</v>
      </c>
      <c r="F29" s="77">
        <f t="shared" si="5"/>
        <v>42265</v>
      </c>
      <c r="G29" s="77">
        <f>_xll.qlInterestRateIndexValueDate(M29,F29,Trigger)</f>
        <v>42272</v>
      </c>
      <c r="H29" s="77">
        <f>_xll.qlInterestRateIndexMaturity(M29,G29,Trigger)</f>
        <v>44099</v>
      </c>
      <c r="I29" s="76">
        <f>_xll.qlIndexFixing(M29,F29,TRUE,InterestRatesTrigger)</f>
        <v>1.5940344270366853E-3</v>
      </c>
      <c r="J29" s="62" t="str">
        <f>Contribution!K29</f>
        <v>JPY3M5Y=</v>
      </c>
      <c r="K29" s="62"/>
      <c r="L29" s="109"/>
      <c r="M29" s="37" t="str">
        <f>_xll.qlSwapIndex(,"Libor",D29,SettlementDays,Currency,Calendar,FixedLegTenor,FixedLegBDC,FixedLegDayCounter,IborIndex,"JPYON",,Trigger)</f>
        <v>obj_0048c#0003</v>
      </c>
      <c r="N29" s="109"/>
      <c r="O29" s="109"/>
      <c r="P29" s="109"/>
      <c r="Q29" s="109"/>
      <c r="R29" s="65"/>
      <c r="S29" s="65"/>
      <c r="T29" s="2"/>
      <c r="U29" s="2"/>
      <c r="V29" s="2"/>
      <c r="W29" s="2"/>
      <c r="X29" s="2"/>
      <c r="Y29" s="2"/>
      <c r="Z29" s="2"/>
    </row>
    <row r="30" spans="1:26" x14ac:dyDescent="0.2">
      <c r="A30" s="109"/>
      <c r="B30" s="89"/>
      <c r="C30" s="85"/>
      <c r="D30" s="36" t="s">
        <v>40</v>
      </c>
      <c r="E30" s="36" t="s">
        <v>94</v>
      </c>
      <c r="F30" s="77">
        <f t="shared" si="5"/>
        <v>42265</v>
      </c>
      <c r="G30" s="77">
        <f>_xll.qlInterestRateIndexValueDate(M30,F30,Trigger)</f>
        <v>42272</v>
      </c>
      <c r="H30" s="77">
        <f>_xll.qlInterestRateIndexMaturity(M30,G30,Trigger)</f>
        <v>44466</v>
      </c>
      <c r="I30" s="76">
        <f>_xll.qlIndexFixing(M30,F30,TRUE,InterestRatesTrigger)</f>
        <v>2.1436563105070162E-3</v>
      </c>
      <c r="J30" s="62" t="str">
        <f>Contribution!K30</f>
        <v>JPY3M6Y=</v>
      </c>
      <c r="K30" s="62"/>
      <c r="L30" s="109"/>
      <c r="M30" s="37" t="str">
        <f>_xll.qlSwapIndex(,"Libor",D30,SettlementDays,Currency,Calendar,FixedLegTenor,FixedLegBDC,FixedLegDayCounter,IborIndex,"JPYON",,Trigger)</f>
        <v>obj_00498#0003</v>
      </c>
      <c r="N30" s="109"/>
      <c r="O30" s="109"/>
      <c r="P30" s="109"/>
      <c r="Q30" s="109"/>
      <c r="R30" s="65"/>
      <c r="S30" s="65"/>
      <c r="T30" s="2"/>
      <c r="U30" s="2"/>
      <c r="V30" s="2"/>
      <c r="W30" s="2"/>
      <c r="X30" s="2"/>
      <c r="Y30" s="2"/>
      <c r="Z30" s="2"/>
    </row>
    <row r="31" spans="1:26" x14ac:dyDescent="0.2">
      <c r="A31" s="109"/>
      <c r="B31" s="89"/>
      <c r="C31" s="85"/>
      <c r="D31" s="36" t="s">
        <v>41</v>
      </c>
      <c r="E31" s="36" t="s">
        <v>94</v>
      </c>
      <c r="F31" s="77">
        <f t="shared" si="5"/>
        <v>42265</v>
      </c>
      <c r="G31" s="77">
        <f>_xll.qlInterestRateIndexValueDate(M31,F31,Trigger)</f>
        <v>42272</v>
      </c>
      <c r="H31" s="77">
        <f>_xll.qlInterestRateIndexMaturity(M31,G31,Trigger)</f>
        <v>44830</v>
      </c>
      <c r="I31" s="76">
        <f>_xll.qlIndexFixing(M31,F31,TRUE,InterestRatesTrigger)</f>
        <v>2.7682686465238231E-3</v>
      </c>
      <c r="J31" s="62" t="str">
        <f>Contribution!K31</f>
        <v>JPY3M7Y=</v>
      </c>
      <c r="K31" s="62"/>
      <c r="L31" s="109"/>
      <c r="M31" s="37" t="str">
        <f>_xll.qlSwapIndex(,"Libor",D31,SettlementDays,Currency,Calendar,FixedLegTenor,FixedLegBDC,FixedLegDayCounter,IborIndex,"JPYON",,Trigger)</f>
        <v>obj_0047e#0003</v>
      </c>
      <c r="N31" s="109"/>
      <c r="O31" s="109"/>
      <c r="P31" s="109"/>
      <c r="Q31" s="109"/>
      <c r="R31" s="65"/>
      <c r="S31" s="65"/>
      <c r="T31" s="2"/>
      <c r="U31" s="2"/>
      <c r="V31" s="2"/>
      <c r="W31" s="2"/>
      <c r="X31" s="2"/>
      <c r="Y31" s="2"/>
      <c r="Z31" s="2"/>
    </row>
    <row r="32" spans="1:26" x14ac:dyDescent="0.2">
      <c r="A32" s="109"/>
      <c r="B32" s="89"/>
      <c r="C32" s="85"/>
      <c r="D32" s="36" t="s">
        <v>42</v>
      </c>
      <c r="E32" s="36" t="s">
        <v>94</v>
      </c>
      <c r="F32" s="77">
        <f t="shared" si="5"/>
        <v>42265</v>
      </c>
      <c r="G32" s="77">
        <f>_xll.qlInterestRateIndexValueDate(M32,F32,Trigger)</f>
        <v>42272</v>
      </c>
      <c r="H32" s="77">
        <f>_xll.qlInterestRateIndexMaturity(M32,G32,Trigger)</f>
        <v>45194</v>
      </c>
      <c r="I32" s="76">
        <f>_xll.qlIndexFixing(M32,F32,TRUE,InterestRatesTrigger)</f>
        <v>3.4178793505052984E-3</v>
      </c>
      <c r="J32" s="62" t="str">
        <f>Contribution!K32</f>
        <v>JPY3M8Y=</v>
      </c>
      <c r="K32" s="62"/>
      <c r="L32" s="109"/>
      <c r="M32" s="37" t="str">
        <f>_xll.qlSwapIndex(,"Libor",D32,SettlementDays,Currency,Calendar,FixedLegTenor,FixedLegBDC,FixedLegDayCounter,IborIndex,"JPYON",,Trigger)</f>
        <v>obj_00493#0003</v>
      </c>
      <c r="N32" s="109"/>
      <c r="O32" s="109"/>
      <c r="P32" s="109"/>
      <c r="Q32" s="109"/>
      <c r="R32" s="65"/>
      <c r="S32" s="65"/>
      <c r="T32" s="2"/>
      <c r="U32" s="2"/>
      <c r="V32" s="2"/>
      <c r="W32" s="2"/>
      <c r="X32" s="2"/>
      <c r="Y32" s="2"/>
      <c r="Z32" s="2"/>
    </row>
    <row r="33" spans="1:26" x14ac:dyDescent="0.2">
      <c r="A33" s="109"/>
      <c r="B33" s="89"/>
      <c r="C33" s="85"/>
      <c r="D33" s="36" t="s">
        <v>43</v>
      </c>
      <c r="E33" s="36" t="s">
        <v>94</v>
      </c>
      <c r="F33" s="77">
        <f t="shared" si="5"/>
        <v>42265</v>
      </c>
      <c r="G33" s="77">
        <f>_xll.qlInterestRateIndexValueDate(M33,F33,Trigger)</f>
        <v>42272</v>
      </c>
      <c r="H33" s="77">
        <f>_xll.qlInterestRateIndexMaturity(M33,G33,Trigger)</f>
        <v>45560</v>
      </c>
      <c r="I33" s="76">
        <f>_xll.qlIndexFixing(M33,F33,TRUE,InterestRatesTrigger)</f>
        <v>4.0924806007758422E-3</v>
      </c>
      <c r="J33" s="62" t="str">
        <f>Contribution!K33</f>
        <v>JPY3M9Y=</v>
      </c>
      <c r="K33" s="62"/>
      <c r="L33" s="109"/>
      <c r="M33" s="37" t="str">
        <f>_xll.qlSwapIndex(,"Libor",D33,SettlementDays,Currency,Calendar,FixedLegTenor,FixedLegBDC,FixedLegDayCounter,IborIndex,"JPYON",,Trigger)</f>
        <v>obj_0047d#0003</v>
      </c>
      <c r="N33" s="109"/>
      <c r="O33" s="109"/>
      <c r="P33" s="109"/>
      <c r="Q33" s="109"/>
      <c r="R33" s="65"/>
      <c r="S33" s="65"/>
      <c r="T33" s="2"/>
      <c r="U33" s="2"/>
      <c r="V33" s="2"/>
      <c r="W33" s="2"/>
      <c r="X33" s="2"/>
      <c r="Y33" s="2"/>
      <c r="Z33" s="2"/>
    </row>
    <row r="34" spans="1:26" x14ac:dyDescent="0.2">
      <c r="A34" s="109"/>
      <c r="B34" s="89"/>
      <c r="C34" s="85"/>
      <c r="D34" s="36" t="s">
        <v>44</v>
      </c>
      <c r="E34" s="36" t="s">
        <v>94</v>
      </c>
      <c r="F34" s="77">
        <f t="shared" si="5"/>
        <v>42265</v>
      </c>
      <c r="G34" s="77">
        <f>_xll.qlInterestRateIndexValueDate(M34,F34,Trigger)</f>
        <v>42272</v>
      </c>
      <c r="H34" s="77">
        <f>_xll.qlInterestRateIndexMaturity(M34,G34,Trigger)</f>
        <v>45925</v>
      </c>
      <c r="I34" s="76">
        <f>_xll.qlIndexFixing(M34,F34,TRUE,InterestRatesTrigger)</f>
        <v>4.7670770362003975E-3</v>
      </c>
      <c r="J34" s="62" t="str">
        <f>Contribution!K34</f>
        <v>JPY3M10Y=</v>
      </c>
      <c r="K34" s="62"/>
      <c r="L34" s="109"/>
      <c r="M34" s="37" t="str">
        <f>_xll.qlSwapIndex(,"Libor",D34,SettlementDays,Currency,Calendar,FixedLegTenor,FixedLegBDC,FixedLegDayCounter,IborIndex,"JPYON",,Trigger)</f>
        <v>obj_00484#0003</v>
      </c>
      <c r="N34" s="109"/>
      <c r="O34" s="109"/>
      <c r="P34" s="109"/>
      <c r="Q34" s="109"/>
      <c r="R34" s="65"/>
      <c r="S34" s="65"/>
      <c r="T34" s="2"/>
      <c r="U34" s="2"/>
      <c r="V34" s="2"/>
      <c r="W34" s="2"/>
      <c r="X34" s="2"/>
      <c r="Y34" s="2"/>
      <c r="Z34" s="2"/>
    </row>
    <row r="35" spans="1:26" x14ac:dyDescent="0.2">
      <c r="A35" s="109"/>
      <c r="B35" s="89"/>
      <c r="C35" s="85"/>
      <c r="D35" s="36" t="s">
        <v>45</v>
      </c>
      <c r="E35" s="36" t="s">
        <v>94</v>
      </c>
      <c r="F35" s="77">
        <f t="shared" si="5"/>
        <v>42265</v>
      </c>
      <c r="G35" s="77">
        <f>_xll.qlInterestRateIndexValueDate(M35,F35,Trigger)</f>
        <v>42272</v>
      </c>
      <c r="H35" s="77">
        <f>_xll.qlInterestRateIndexMaturity(M35,G35,Trigger)</f>
        <v>46657</v>
      </c>
      <c r="I35" s="76">
        <f>_xll.qlIndexFixing(M35,F35,TRUE,InterestRatesTrigger)</f>
        <v>6.231062822758252E-3</v>
      </c>
      <c r="J35" s="62" t="str">
        <f>Contribution!K35</f>
        <v>JPY3M12Y=</v>
      </c>
      <c r="K35" s="62"/>
      <c r="L35" s="109"/>
      <c r="M35" s="37" t="str">
        <f>_xll.qlSwapIndex(,"Libor",D35,SettlementDays,Currency,Calendar,FixedLegTenor,FixedLegBDC,FixedLegDayCounter,IborIndex,"JPYON",,Trigger)</f>
        <v>obj_0048d#0003</v>
      </c>
      <c r="N35" s="109"/>
      <c r="O35" s="109"/>
      <c r="P35" s="109"/>
      <c r="Q35" s="109"/>
      <c r="R35" s="65"/>
      <c r="S35" s="65"/>
      <c r="T35" s="2"/>
      <c r="U35" s="2"/>
      <c r="V35" s="2"/>
      <c r="W35" s="2"/>
      <c r="X35" s="2"/>
      <c r="Y35" s="2"/>
      <c r="Z35" s="2"/>
    </row>
    <row r="36" spans="1:26" x14ac:dyDescent="0.2">
      <c r="A36" s="109"/>
      <c r="B36" s="89"/>
      <c r="C36" s="85"/>
      <c r="D36" s="36" t="s">
        <v>46</v>
      </c>
      <c r="E36" s="36" t="s">
        <v>94</v>
      </c>
      <c r="F36" s="77">
        <f t="shared" si="5"/>
        <v>42265</v>
      </c>
      <c r="G36" s="77">
        <f>_xll.qlInterestRateIndexValueDate(M36,F36,Trigger)</f>
        <v>42272</v>
      </c>
      <c r="H36" s="77">
        <f>_xll.qlInterestRateIndexMaturity(M36,G36,Trigger)</f>
        <v>47751</v>
      </c>
      <c r="I36" s="76">
        <f>_xll.qlIndexFixing(M36,F36,TRUE,InterestRatesTrigger)</f>
        <v>8.3922050339986422E-3</v>
      </c>
      <c r="J36" s="62" t="str">
        <f>Contribution!K36</f>
        <v>JPY3M15Y=</v>
      </c>
      <c r="K36" s="62"/>
      <c r="L36" s="109"/>
      <c r="M36" s="37" t="str">
        <f>_xll.qlSwapIndex(,"Libor",D36,SettlementDays,Currency,Calendar,FixedLegTenor,FixedLegBDC,FixedLegDayCounter,IborIndex,"JPYON",,Trigger)</f>
        <v>obj_00492#0003</v>
      </c>
      <c r="N36" s="109"/>
      <c r="O36" s="109"/>
      <c r="P36" s="109"/>
      <c r="Q36" s="109"/>
      <c r="R36" s="65"/>
      <c r="S36" s="65"/>
      <c r="T36" s="2"/>
      <c r="U36" s="2"/>
      <c r="V36" s="2"/>
      <c r="W36" s="2"/>
      <c r="X36" s="2"/>
      <c r="Y36" s="2"/>
      <c r="Z36" s="2"/>
    </row>
    <row r="37" spans="1:26" x14ac:dyDescent="0.2">
      <c r="A37" s="109"/>
      <c r="B37" s="89"/>
      <c r="C37" s="85"/>
      <c r="D37" s="36" t="s">
        <v>47</v>
      </c>
      <c r="E37" s="36" t="s">
        <v>94</v>
      </c>
      <c r="F37" s="77">
        <f t="shared" si="5"/>
        <v>42265</v>
      </c>
      <c r="G37" s="77">
        <f>_xll.qlInterestRateIndexValueDate(M37,F37,Trigger)</f>
        <v>42272</v>
      </c>
      <c r="H37" s="77">
        <f>_xll.qlInterestRateIndexMaturity(M37,G37,Trigger)</f>
        <v>49577</v>
      </c>
      <c r="I37" s="76">
        <f>_xll.qlIndexFixing(M37,F37,TRUE,InterestRatesTrigger)</f>
        <v>1.1167404596459284E-2</v>
      </c>
      <c r="J37" s="62" t="str">
        <f>Contribution!K37</f>
        <v>JPY3M20Y=</v>
      </c>
      <c r="K37" s="62"/>
      <c r="L37" s="109"/>
      <c r="M37" s="37" t="str">
        <f>_xll.qlSwapIndex(,"Libor",D37,SettlementDays,Currency,Calendar,FixedLegTenor,FixedLegBDC,FixedLegDayCounter,IborIndex,"JPYON",,Trigger)</f>
        <v>obj_0048b#0003</v>
      </c>
      <c r="N37" s="109"/>
      <c r="O37" s="109"/>
      <c r="P37" s="109"/>
      <c r="Q37" s="109"/>
      <c r="R37" s="65"/>
      <c r="S37" s="65"/>
      <c r="T37" s="2"/>
      <c r="U37" s="2"/>
      <c r="V37" s="2"/>
      <c r="W37" s="2"/>
      <c r="X37" s="2"/>
      <c r="Y37" s="2"/>
      <c r="Z37" s="2"/>
    </row>
    <row r="38" spans="1:26" x14ac:dyDescent="0.2">
      <c r="A38" s="109"/>
      <c r="B38" s="89"/>
      <c r="C38" s="85"/>
      <c r="D38" s="36" t="s">
        <v>48</v>
      </c>
      <c r="E38" s="36" t="s">
        <v>94</v>
      </c>
      <c r="F38" s="77">
        <f t="shared" si="5"/>
        <v>42265</v>
      </c>
      <c r="G38" s="77">
        <f>_xll.qlInterestRateIndexValueDate(M38,F38,Trigger)</f>
        <v>42272</v>
      </c>
      <c r="H38" s="77">
        <f>_xll.qlInterestRateIndexMaturity(M38,G38,Trigger)</f>
        <v>51404</v>
      </c>
      <c r="I38" s="76">
        <f>_xll.qlIndexFixing(M38,F38,TRUE,InterestRatesTrigger)</f>
        <v>1.2714026482188242E-2</v>
      </c>
      <c r="J38" s="62" t="str">
        <f>Contribution!K38</f>
        <v>JPY3M25Y=</v>
      </c>
      <c r="K38" s="62"/>
      <c r="L38" s="109"/>
      <c r="M38" s="37" t="str">
        <f>_xll.qlSwapIndex(,"Libor",D38,SettlementDays,Currency,Calendar,FixedLegTenor,FixedLegBDC,FixedLegDayCounter,IborIndex,"JPYON",,Trigger)</f>
        <v>obj_00485#0003</v>
      </c>
      <c r="N38" s="109"/>
      <c r="O38" s="109"/>
      <c r="P38" s="109"/>
      <c r="Q38" s="109"/>
      <c r="R38" s="65"/>
      <c r="S38" s="65"/>
      <c r="T38" s="2"/>
      <c r="U38" s="2"/>
      <c r="V38" s="2"/>
      <c r="W38" s="2"/>
      <c r="X38" s="2"/>
      <c r="Y38" s="2"/>
      <c r="Z38" s="2"/>
    </row>
    <row r="39" spans="1:26" x14ac:dyDescent="0.2">
      <c r="A39" s="109"/>
      <c r="B39" s="92"/>
      <c r="C39" s="93"/>
      <c r="D39" s="38" t="s">
        <v>49</v>
      </c>
      <c r="E39" s="38" t="s">
        <v>94</v>
      </c>
      <c r="F39" s="78">
        <f t="shared" si="5"/>
        <v>42265</v>
      </c>
      <c r="G39" s="78">
        <f>_xll.qlInterestRateIndexValueDate(M39,F39,Trigger)</f>
        <v>42272</v>
      </c>
      <c r="H39" s="78">
        <f>_xll.qlInterestRateIndexMaturity(M39,G39,Trigger)</f>
        <v>53230</v>
      </c>
      <c r="I39" s="79">
        <f>_xll.qlIndexFixing(M39,F39,TRUE,InterestRatesTrigger)</f>
        <v>1.3618418716432119E-2</v>
      </c>
      <c r="J39" s="64" t="str">
        <f>Contribution!K39</f>
        <v>JPY3M30Y=</v>
      </c>
      <c r="K39" s="64"/>
      <c r="L39" s="109"/>
      <c r="M39" s="39" t="str">
        <f>_xll.qlSwapIndex(,"Libor",D39,SettlementDays,Currency,Calendar,FixedLegTenor,FixedLegBDC,FixedLegDayCounter,IborIndex,"JPYON",,Trigger)</f>
        <v>obj_00486#0003</v>
      </c>
      <c r="N39" s="109"/>
      <c r="O39" s="109"/>
      <c r="P39" s="109"/>
      <c r="Q39" s="109"/>
      <c r="R39" s="65"/>
      <c r="S39" s="65"/>
      <c r="T39" s="2"/>
      <c r="U39" s="2"/>
      <c r="V39" s="2"/>
      <c r="W39" s="2"/>
      <c r="X39" s="2"/>
      <c r="Y39" s="2"/>
      <c r="Z39" s="2"/>
    </row>
    <row r="40" spans="1:26" x14ac:dyDescent="0.2">
      <c r="A40" s="109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09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09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09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0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Q25 Q8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 P8 P12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E2" sqref="E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0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7"/>
      <c r="C2" s="4"/>
      <c r="D2" s="4"/>
      <c r="E2" s="26" t="s">
        <v>110</v>
      </c>
      <c r="F2" s="40" t="s">
        <v>18</v>
      </c>
      <c r="G2" s="109"/>
      <c r="H2" s="109"/>
      <c r="I2" s="109"/>
      <c r="J2" s="65"/>
      <c r="K2" s="109"/>
      <c r="L2" s="109"/>
      <c r="M2" s="109"/>
      <c r="N2" s="109"/>
      <c r="O2" s="109"/>
      <c r="P2" s="109"/>
      <c r="Q2" s="109"/>
      <c r="R2" s="109"/>
      <c r="S2" s="65"/>
      <c r="T2" s="2"/>
      <c r="U2" s="2"/>
      <c r="V2" s="2"/>
      <c r="W2" s="2"/>
      <c r="X2" s="2"/>
      <c r="Y2" s="2"/>
      <c r="Z2" s="2"/>
    </row>
    <row r="3" spans="1:26" x14ac:dyDescent="0.2">
      <c r="A3" s="4"/>
      <c r="B3" s="117"/>
      <c r="C3" s="4"/>
      <c r="D3" s="3"/>
      <c r="E3" s="26" t="s">
        <v>111</v>
      </c>
      <c r="F3" s="22" t="str">
        <f>Currency&amp;CurveTenor</f>
        <v>JPY6M</v>
      </c>
      <c r="G3" s="109"/>
      <c r="H3" s="109"/>
      <c r="I3" s="109"/>
      <c r="J3" s="65"/>
      <c r="K3" s="6"/>
      <c r="L3" s="6"/>
      <c r="M3" s="109"/>
      <c r="N3" s="6"/>
      <c r="O3" s="109"/>
      <c r="P3" s="109"/>
      <c r="Q3" s="109"/>
      <c r="R3" s="109"/>
      <c r="S3" s="65"/>
      <c r="T3" s="2"/>
      <c r="U3" s="2"/>
      <c r="V3" s="2"/>
      <c r="W3" s="2"/>
      <c r="X3" s="2"/>
      <c r="Y3" s="2"/>
      <c r="Z3" s="2"/>
    </row>
    <row r="4" spans="1:26" x14ac:dyDescent="0.2">
      <c r="A4" s="4"/>
      <c r="B4" s="117"/>
      <c r="C4" s="4"/>
      <c r="D4" s="4"/>
      <c r="E4" s="109"/>
      <c r="F4" s="109"/>
      <c r="G4" s="109"/>
      <c r="H4" s="109"/>
      <c r="I4" s="109"/>
      <c r="J4" s="65"/>
      <c r="K4" s="109"/>
      <c r="L4" s="109"/>
      <c r="M4" s="109"/>
      <c r="N4" s="109"/>
      <c r="O4" s="109"/>
      <c r="P4" s="109"/>
      <c r="Q4" s="109"/>
      <c r="R4" s="109"/>
      <c r="S4" s="65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0" t="s">
        <v>108</v>
      </c>
      <c r="K5" s="30" t="s">
        <v>109</v>
      </c>
      <c r="L5" s="65"/>
      <c r="M5" s="26" t="s">
        <v>92</v>
      </c>
      <c r="N5" s="4"/>
      <c r="O5" s="109"/>
      <c r="P5" s="109"/>
      <c r="Q5" s="109"/>
      <c r="R5" s="65"/>
      <c r="S5" s="65"/>
      <c r="T5" s="2"/>
      <c r="U5" s="2"/>
      <c r="V5" s="2"/>
      <c r="W5" s="2"/>
      <c r="X5" s="2"/>
      <c r="Y5" s="2"/>
      <c r="Z5" s="2"/>
    </row>
    <row r="6" spans="1:26" x14ac:dyDescent="0.2">
      <c r="A6" s="4"/>
      <c r="B6" s="70">
        <f t="shared" ref="B6:B17" si="0">H6-EvaluationDate</f>
        <v>6</v>
      </c>
      <c r="C6" s="42"/>
      <c r="D6" s="23" t="s">
        <v>19</v>
      </c>
      <c r="E6" s="33" t="s">
        <v>93</v>
      </c>
      <c r="F6" s="74">
        <f t="shared" ref="F6:F17" si="1">EvaluationDate</f>
        <v>42265</v>
      </c>
      <c r="G6" s="74">
        <f>EvaluationDate</f>
        <v>42265</v>
      </c>
      <c r="H6" s="74">
        <f>_xll.qlCalendarAdvance(Calendar,EvaluationDate,"1D","f",TRUE,Trigger)</f>
        <v>42271</v>
      </c>
      <c r="I6" s="84">
        <f>_xll.qlInterpolationInterpolate($M$6,B6,TRUE)</f>
        <v>1.1165755591705359E-3</v>
      </c>
      <c r="J6" s="100" t="str">
        <f>Contribution!O6</f>
        <v>JPY6MOND=</v>
      </c>
      <c r="K6" s="100"/>
      <c r="L6" s="65"/>
      <c r="M6" s="22" t="str">
        <f>_xll.qlInterpolation(,InterpolationType,B8:B17,I8:I17,,Trigger)</f>
        <v>obj_0049d#0000</v>
      </c>
      <c r="N6" s="4"/>
      <c r="O6" s="109"/>
      <c r="P6" s="109"/>
      <c r="Q6" s="109"/>
      <c r="R6" s="65"/>
      <c r="S6" s="65"/>
      <c r="T6" s="2"/>
      <c r="U6" s="2"/>
      <c r="V6" s="2"/>
      <c r="W6" s="2"/>
      <c r="X6" s="2"/>
      <c r="Y6" s="2"/>
      <c r="Z6" s="2"/>
    </row>
    <row r="7" spans="1:26" x14ac:dyDescent="0.2">
      <c r="A7" s="4"/>
      <c r="B7" s="71">
        <f t="shared" si="0"/>
        <v>7</v>
      </c>
      <c r="C7" s="44"/>
      <c r="D7" s="24" t="s">
        <v>20</v>
      </c>
      <c r="E7" s="36" t="s">
        <v>93</v>
      </c>
      <c r="F7" s="77">
        <f t="shared" si="1"/>
        <v>42265</v>
      </c>
      <c r="G7" s="77">
        <f>H6</f>
        <v>42271</v>
      </c>
      <c r="H7" s="77">
        <f>_xll.qlCalendarAdvance(Calendar,EvaluationDate,"2D","f",TRUE,Trigger)</f>
        <v>42272</v>
      </c>
      <c r="I7" s="82">
        <f>_xll.qlInterpolationInterpolate($M$6,B7,TRUE)</f>
        <v>1.1167035997863908E-3</v>
      </c>
      <c r="J7" s="101" t="str">
        <f>Contribution!O7</f>
        <v>JPY6MTND=</v>
      </c>
      <c r="K7" s="101"/>
      <c r="L7" s="65"/>
      <c r="M7" s="8" t="s">
        <v>50</v>
      </c>
      <c r="N7" s="4"/>
      <c r="O7" s="109"/>
      <c r="P7" s="8" t="s">
        <v>112</v>
      </c>
      <c r="Q7" s="8" t="s">
        <v>52</v>
      </c>
      <c r="R7" s="65"/>
      <c r="S7" s="65"/>
      <c r="T7" s="2"/>
      <c r="U7" s="2"/>
      <c r="V7" s="2"/>
      <c r="W7" s="2"/>
      <c r="X7" s="2"/>
      <c r="Y7" s="2"/>
      <c r="Z7" s="2"/>
    </row>
    <row r="8" spans="1:26" x14ac:dyDescent="0.2">
      <c r="A8" s="4"/>
      <c r="B8" s="70">
        <f t="shared" si="0"/>
        <v>10</v>
      </c>
      <c r="C8" s="45"/>
      <c r="D8" s="23" t="s">
        <v>21</v>
      </c>
      <c r="E8" s="33" t="s">
        <v>95</v>
      </c>
      <c r="F8" s="74">
        <f t="shared" si="1"/>
        <v>42265</v>
      </c>
      <c r="G8" s="74">
        <f>_xll.qlInterestRateIndexValueDate(M8,F8,Trigger)</f>
        <v>42272</v>
      </c>
      <c r="H8" s="74">
        <f>_xll.qlInterestRateIndexMaturity(M8,G8,Trigger)</f>
        <v>42275</v>
      </c>
      <c r="I8" s="75">
        <f>_xll.qlIndexFixing(M8,F8,TRUE,InterestRatesTrigger)</f>
        <v>1.1170005650562587E-3</v>
      </c>
      <c r="J8" s="100" t="str">
        <f>Contribution!O8</f>
        <v>JPY6MSND=</v>
      </c>
      <c r="K8" s="100"/>
      <c r="L8" s="65"/>
      <c r="M8" s="34" t="str">
        <f>_xll.qlIborIndex(,,IF(LEFT(D8,1)="S",IF(RIGHT(D8,1)="N","1D","1W"),D8),2,Currency,Calendar,$P$8,FALSE,$Q$8,YieldCurve,,Trigger)</f>
        <v>obj_00451#0017</v>
      </c>
      <c r="N8" s="4"/>
      <c r="O8" s="109"/>
      <c r="P8" s="22" t="s">
        <v>135</v>
      </c>
      <c r="Q8" s="22" t="s">
        <v>120</v>
      </c>
      <c r="R8" s="65"/>
      <c r="S8" s="65"/>
      <c r="T8" s="2"/>
      <c r="U8" s="2"/>
      <c r="V8" s="2"/>
      <c r="W8" s="2"/>
      <c r="X8" s="2"/>
      <c r="Y8" s="2"/>
      <c r="Z8" s="2"/>
    </row>
    <row r="9" spans="1:26" x14ac:dyDescent="0.2">
      <c r="A9" s="4"/>
      <c r="B9" s="71">
        <f t="shared" si="0"/>
        <v>14</v>
      </c>
      <c r="C9" s="46"/>
      <c r="D9" s="24" t="s">
        <v>22</v>
      </c>
      <c r="E9" s="36" t="s">
        <v>95</v>
      </c>
      <c r="F9" s="77">
        <f t="shared" si="1"/>
        <v>42265</v>
      </c>
      <c r="G9" s="77">
        <f>_xll.qlInterestRateIndexValueDate(M9,F9,Trigger)</f>
        <v>42272</v>
      </c>
      <c r="H9" s="77">
        <f>_xll.qlInterestRateIndexMaturity(M9,G9,Trigger)</f>
        <v>42279</v>
      </c>
      <c r="I9" s="76">
        <f>_xll.qlIndexFixing(M9,F9,TRUE,InterestRatesTrigger)</f>
        <v>1.1174255709419814E-3</v>
      </c>
      <c r="J9" s="101" t="str">
        <f>Contribution!O9</f>
        <v>JPY6MSWD=</v>
      </c>
      <c r="K9" s="101"/>
      <c r="L9" s="65"/>
      <c r="M9" s="37" t="str">
        <f>_xll.qlIborIndex(,,IF(LEFT(D9,1)="S",IF(RIGHT(D9,1)="N","1D","1W"),D9),2,Currency,Calendar,$P$8,FALSE,$Q$8,YieldCurve,,Trigger)</f>
        <v>obj_0044f#0001</v>
      </c>
      <c r="N9" s="4"/>
      <c r="O9" s="109"/>
      <c r="P9" s="109"/>
      <c r="Q9" s="109"/>
      <c r="R9" s="65"/>
      <c r="S9" s="65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1">
        <f t="shared" si="0"/>
        <v>21</v>
      </c>
      <c r="C10" s="46"/>
      <c r="D10" s="24" t="s">
        <v>23</v>
      </c>
      <c r="E10" s="36" t="s">
        <v>95</v>
      </c>
      <c r="F10" s="77">
        <f t="shared" si="1"/>
        <v>42265</v>
      </c>
      <c r="G10" s="77">
        <f>_xll.qlInterestRateIndexValueDate(M10,F10,Trigger)</f>
        <v>42272</v>
      </c>
      <c r="H10" s="77">
        <f>_xll.qlInterestRateIndexMaturity(M10,G10,Trigger)</f>
        <v>42286</v>
      </c>
      <c r="I10" s="76">
        <f>_xll.qlIndexFixing(M10,F10,TRUE,InterestRatesTrigger)</f>
        <v>1.1189741668106632E-3</v>
      </c>
      <c r="J10" s="101" t="str">
        <f>Contribution!O10</f>
        <v>JPY6M2WD=</v>
      </c>
      <c r="K10" s="101"/>
      <c r="L10" s="65"/>
      <c r="M10" s="37" t="str">
        <f>_xll.qlIborIndex(,,IF(LEFT(D10,1)="S",IF(RIGHT(D10,1)="N","1D","1W"),D10),2,Currency,Calendar,$P$8,FALSE,$Q$8,YieldCurve,,Trigger)</f>
        <v>obj_00454#0001</v>
      </c>
      <c r="N10" s="4"/>
      <c r="O10" s="109"/>
      <c r="P10" s="109"/>
      <c r="Q10" s="109"/>
      <c r="R10" s="65"/>
      <c r="S10" s="65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1">
        <f t="shared" si="0"/>
        <v>28</v>
      </c>
      <c r="C11" s="46"/>
      <c r="D11" s="24" t="s">
        <v>24</v>
      </c>
      <c r="E11" s="36" t="s">
        <v>95</v>
      </c>
      <c r="F11" s="77">
        <f t="shared" si="1"/>
        <v>42265</v>
      </c>
      <c r="G11" s="77">
        <f>_xll.qlInterestRateIndexValueDate(M11,F11,Trigger)</f>
        <v>42272</v>
      </c>
      <c r="H11" s="77">
        <f>_xll.qlInterestRateIndexMaturity(M11,G11,Trigger)</f>
        <v>42293</v>
      </c>
      <c r="I11" s="76">
        <f>_xll.qlIndexFixing(M11,F11,TRUE,InterestRatesTrigger)</f>
        <v>1.1215471564453492E-3</v>
      </c>
      <c r="J11" s="101" t="str">
        <f>Contribution!O11</f>
        <v>JPY6M3WD=</v>
      </c>
      <c r="K11" s="101"/>
      <c r="L11" s="65"/>
      <c r="M11" s="39" t="str">
        <f>_xll.qlIborIndex(,,IF(LEFT(D11,1)="S",IF(RIGHT(D11,1)="N","1D","1W"),D11),2,Currency,Calendar,$P$8,FALSE,$Q$8,YieldCurve,,Trigger)</f>
        <v>obj_00452#0001</v>
      </c>
      <c r="N11" s="4"/>
      <c r="O11" s="109"/>
      <c r="P11" s="8" t="s">
        <v>112</v>
      </c>
      <c r="Q11" s="109"/>
      <c r="R11" s="65"/>
      <c r="S11" s="65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1">
        <f t="shared" si="0"/>
        <v>38</v>
      </c>
      <c r="C12" s="46"/>
      <c r="D12" s="24" t="s">
        <v>25</v>
      </c>
      <c r="E12" s="36" t="s">
        <v>95</v>
      </c>
      <c r="F12" s="77">
        <f t="shared" si="1"/>
        <v>42265</v>
      </c>
      <c r="G12" s="77">
        <f>_xll.qlInterestRateIndexValueDate(M12,F12,Trigger)</f>
        <v>42272</v>
      </c>
      <c r="H12" s="77">
        <f>_xll.qlInterestRateIndexMaturity(M12,G12,Trigger)</f>
        <v>42303</v>
      </c>
      <c r="I12" s="76">
        <f>_xll.qlIndexFixing(M12,F12,TRUE,InterestRatesTrigger)</f>
        <v>1.1269999999991189E-3</v>
      </c>
      <c r="J12" s="101" t="str">
        <f>Contribution!O12</f>
        <v>JPY6M1MD=</v>
      </c>
      <c r="K12" s="101"/>
      <c r="L12" s="65"/>
      <c r="M12" s="37" t="str">
        <f>_xll.qlIborIndex(,,IF(LEFT(D12,1)="S",IF(RIGHT(D12,1)="N","1D","1W"),D12),2,Currency,Calendar,$P$12,FALSE,$Q$8,YieldCurve,,Trigger)</f>
        <v>obj_0044e#0002</v>
      </c>
      <c r="N12" s="4"/>
      <c r="O12" s="109"/>
      <c r="P12" s="22" t="s">
        <v>87</v>
      </c>
      <c r="Q12" s="109"/>
      <c r="R12" s="65"/>
      <c r="S12" s="65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1">
        <f t="shared" si="0"/>
        <v>68</v>
      </c>
      <c r="C13" s="46"/>
      <c r="D13" s="24" t="s">
        <v>26</v>
      </c>
      <c r="E13" s="36" t="s">
        <v>95</v>
      </c>
      <c r="F13" s="77">
        <f t="shared" si="1"/>
        <v>42265</v>
      </c>
      <c r="G13" s="77">
        <f>_xll.qlInterestRateIndexValueDate(M13,F13,Trigger)</f>
        <v>42272</v>
      </c>
      <c r="H13" s="77">
        <f>_xll.qlInterestRateIndexMaturity(M13,G13,Trigger)</f>
        <v>42333</v>
      </c>
      <c r="I13" s="76">
        <f>_xll.qlIndexFixing(M13,F13,TRUE,InterestRatesTrigger)</f>
        <v>1.1590000010735795E-3</v>
      </c>
      <c r="J13" s="101" t="str">
        <f>Contribution!O13</f>
        <v>JPY6M2MD=</v>
      </c>
      <c r="K13" s="101"/>
      <c r="L13" s="65"/>
      <c r="M13" s="37" t="str">
        <f>_xll.qlIborIndex(,,IF(LEFT(D13,1)="S",IF(RIGHT(D13,1)="N","1D","1W"),D13),2,Currency,Calendar,$P$12,FALSE,$Q$8,YieldCurve,,Trigger)</f>
        <v>obj_00453#0002</v>
      </c>
      <c r="N13" s="4"/>
      <c r="O13" s="109"/>
      <c r="P13" s="109"/>
      <c r="Q13" s="109"/>
      <c r="R13" s="65"/>
      <c r="S13" s="65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1">
        <f t="shared" si="0"/>
        <v>98</v>
      </c>
      <c r="C14" s="46"/>
      <c r="D14" s="24" t="s">
        <v>27</v>
      </c>
      <c r="E14" s="36" t="s">
        <v>95</v>
      </c>
      <c r="F14" s="77">
        <f t="shared" si="1"/>
        <v>42265</v>
      </c>
      <c r="G14" s="77">
        <f>_xll.qlInterestRateIndexValueDate(M14,F14,Trigger)</f>
        <v>42272</v>
      </c>
      <c r="H14" s="77">
        <f>_xll.qlInterestRateIndexMaturity(M14,G14,Trigger)</f>
        <v>42363</v>
      </c>
      <c r="I14" s="76">
        <f>_xll.qlIndexFixing(M14,F14,TRUE,InterestRatesTrigger)</f>
        <v>1.2017900096068684E-3</v>
      </c>
      <c r="J14" s="101" t="str">
        <f>Contribution!O14</f>
        <v>JPY6M3MD=</v>
      </c>
      <c r="K14" s="101"/>
      <c r="L14" s="65"/>
      <c r="M14" s="37" t="str">
        <f>_xll.qlIborIndex(,,IF(LEFT(D14,1)="S",IF(RIGHT(D14,1)="N","1D","1W"),D14),2,Currency,Calendar,$P$12,FALSE,$Q$8,YieldCurve,,Trigger)</f>
        <v>obj_0044d#0002</v>
      </c>
      <c r="N14" s="4"/>
      <c r="O14" s="109"/>
      <c r="P14" s="109"/>
      <c r="Q14" s="109"/>
      <c r="R14" s="65"/>
      <c r="S14" s="65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1">
        <f t="shared" si="0"/>
        <v>129</v>
      </c>
      <c r="C15" s="46"/>
      <c r="D15" s="24" t="s">
        <v>28</v>
      </c>
      <c r="E15" s="36" t="s">
        <v>95</v>
      </c>
      <c r="F15" s="77">
        <f t="shared" si="1"/>
        <v>42265</v>
      </c>
      <c r="G15" s="77">
        <f>_xll.qlInterestRateIndexValueDate(M15,F15,Trigger)</f>
        <v>42272</v>
      </c>
      <c r="H15" s="77">
        <f>_xll.qlInterestRateIndexMaturity(M15,G15,Trigger)</f>
        <v>42394</v>
      </c>
      <c r="I15" s="76">
        <f>_xll.qlIndexFixing(M15,F15,TRUE,InterestRatesTrigger)</f>
        <v>1.209000000026548E-3</v>
      </c>
      <c r="J15" s="101" t="str">
        <f>Contribution!O15</f>
        <v>JPY6M4MD=</v>
      </c>
      <c r="K15" s="101"/>
      <c r="L15" s="65"/>
      <c r="M15" s="37" t="str">
        <f>_xll.qlIborIndex(,,IF(LEFT(D15,1)="S",IF(RIGHT(D15,1)="N","1D","1W"),D15),2,Currency,Calendar,$P$12,FALSE,$Q$8,YieldCurve,,Trigger)</f>
        <v>obj_00456#0002</v>
      </c>
      <c r="N15" s="4"/>
      <c r="O15" s="109"/>
      <c r="P15" s="109"/>
      <c r="Q15" s="109"/>
      <c r="R15" s="65"/>
      <c r="S15" s="65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1">
        <f t="shared" si="0"/>
        <v>160</v>
      </c>
      <c r="C16" s="46"/>
      <c r="D16" s="24" t="s">
        <v>29</v>
      </c>
      <c r="E16" s="36" t="s">
        <v>95</v>
      </c>
      <c r="F16" s="77">
        <f t="shared" si="1"/>
        <v>42265</v>
      </c>
      <c r="G16" s="77">
        <f>_xll.qlInterestRateIndexValueDate(M16,F16,Trigger)</f>
        <v>42272</v>
      </c>
      <c r="H16" s="77">
        <f>_xll.qlInterestRateIndexMaturity(M16,G16,Trigger)</f>
        <v>42425</v>
      </c>
      <c r="I16" s="76">
        <f>_xll.qlIndexFixing(M16,F16,TRUE,InterestRatesTrigger)</f>
        <v>1.2030000000000781E-3</v>
      </c>
      <c r="J16" s="101" t="str">
        <f>Contribution!O16</f>
        <v>JPY6M5MD=</v>
      </c>
      <c r="K16" s="101"/>
      <c r="L16" s="65"/>
      <c r="M16" s="37" t="str">
        <f>_xll.qlIborIndex(,,IF(LEFT(D16,1)="S",IF(RIGHT(D16,1)="N","1D","1W"),D16),2,Currency,Calendar,$P$12,FALSE,$Q$8,YieldCurve,,Trigger)</f>
        <v>obj_00450#0002</v>
      </c>
      <c r="N16" s="4"/>
      <c r="O16" s="109"/>
      <c r="P16" s="109"/>
      <c r="Q16" s="109"/>
      <c r="R16" s="65"/>
      <c r="S16" s="65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1">
        <f t="shared" si="0"/>
        <v>189</v>
      </c>
      <c r="C17" s="46"/>
      <c r="D17" s="24" t="s">
        <v>18</v>
      </c>
      <c r="E17" s="36" t="s">
        <v>95</v>
      </c>
      <c r="F17" s="77">
        <f t="shared" si="1"/>
        <v>42265</v>
      </c>
      <c r="G17" s="77">
        <f>_xll.qlInterestRateIndexValueDate(M17,F17,Trigger)</f>
        <v>42272</v>
      </c>
      <c r="H17" s="77">
        <f>_xll.qlInterestRateIndexMaturity(M17,G17,Trigger)</f>
        <v>42454</v>
      </c>
      <c r="I17" s="76">
        <f>_xll.qlIndexFixing(M17,F17,TRUE,InterestRatesTrigger)</f>
        <v>1.2073724655096848E-3</v>
      </c>
      <c r="J17" s="101" t="str">
        <f>Contribution!O17</f>
        <v>JPY6M6MD=</v>
      </c>
      <c r="K17" s="101"/>
      <c r="L17" s="65"/>
      <c r="M17" s="37" t="str">
        <f>_xll.qlIborIndex(,,IF(LEFT(D17,1)="S",IF(RIGHT(D17,1)="N","1D","1W"),D17),2,Currency,Calendar,$P$12,FALSE,$Q$8,YieldCurve,,Trigger)</f>
        <v>obj_0049c#0001</v>
      </c>
      <c r="N17" s="4"/>
      <c r="O17" s="109"/>
      <c r="P17" s="109"/>
      <c r="Q17" s="109"/>
      <c r="R17" s="65"/>
      <c r="S17" s="65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113</v>
      </c>
      <c r="D18" s="23" t="str">
        <f>B18+6&amp;"M"</f>
        <v>7M</v>
      </c>
      <c r="E18" s="33" t="s">
        <v>90</v>
      </c>
      <c r="F18" s="74">
        <f>_xll.qlInterestRateIndexFixingDate(IborIndex,G18,Trigger)</f>
        <v>42299</v>
      </c>
      <c r="G18" s="74">
        <f>_xll.qlCalendarAdvance(Calendar,SettlementDate,B18&amp;"M","mf",TRUE,Trigger)</f>
        <v>42303</v>
      </c>
      <c r="H18" s="74">
        <f>_xll.qlInterestRateIndexMaturity(IborIndex,G18,Trigger)</f>
        <v>42486</v>
      </c>
      <c r="I18" s="75">
        <f>_xll.qlIndexFixing(IborIndex,F18,TRUE,InterestRatesTrigger)</f>
        <v>1.1942358324147891E-3</v>
      </c>
      <c r="J18" s="100" t="str">
        <f>Contribution!O18</f>
        <v>JPY6M1X7F=</v>
      </c>
      <c r="K18" s="100" t="str">
        <f t="shared" ref="K18:K23" si="2">Currency&amp;B18&amp;C18&amp;SUBSTITUTE(D18,"M","F")&amp;"=ICAP"</f>
        <v>JPY1X7F=ICAP</v>
      </c>
      <c r="L18" s="65"/>
      <c r="M18" s="110"/>
      <c r="N18" s="4"/>
      <c r="O18" s="109"/>
      <c r="P18" s="109"/>
      <c r="Q18" s="109"/>
      <c r="R18" s="65"/>
      <c r="S18" s="65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113</v>
      </c>
      <c r="D19" s="24" t="str">
        <f t="shared" ref="D19:D24" si="3">B19+6&amp;"M"</f>
        <v>8M</v>
      </c>
      <c r="E19" s="36" t="s">
        <v>90</v>
      </c>
      <c r="F19" s="77">
        <f>_xll.qlInterestRateIndexFixingDate(IborIndex,G19,Trigger)</f>
        <v>42328</v>
      </c>
      <c r="G19" s="77">
        <f>_xll.qlCalendarAdvance(Calendar,SettlementDate,B19&amp;"M","mf",TRUE)</f>
        <v>42333</v>
      </c>
      <c r="H19" s="77">
        <f>_xll.qlInterestRateIndexMaturity(IborIndex,G19,Trigger)</f>
        <v>42515</v>
      </c>
      <c r="I19" s="76">
        <f>_xll.qlIndexFixing(IborIndex,F19,TRUE,InterestRatesTrigger)</f>
        <v>1.1494453528549319E-3</v>
      </c>
      <c r="J19" s="101" t="str">
        <f>Contribution!O19</f>
        <v>JPY6M2X8F=</v>
      </c>
      <c r="K19" s="101" t="str">
        <f t="shared" si="2"/>
        <v>JPY2X8F=ICAP</v>
      </c>
      <c r="L19" s="65"/>
      <c r="M19" s="109"/>
      <c r="N19" s="4"/>
      <c r="O19" s="109"/>
      <c r="P19" s="109"/>
      <c r="Q19" s="109"/>
      <c r="R19" s="65"/>
      <c r="S19" s="65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113</v>
      </c>
      <c r="D20" s="24" t="str">
        <f t="shared" si="3"/>
        <v>9M</v>
      </c>
      <c r="E20" s="36" t="s">
        <v>90</v>
      </c>
      <c r="F20" s="77">
        <f>_xll.qlInterestRateIndexFixingDate(IborIndex,G20,Trigger)</f>
        <v>42360</v>
      </c>
      <c r="G20" s="77">
        <f>_xll.qlCalendarAdvance(Calendar,SettlementDate,B20&amp;"M","mf",TRUE)</f>
        <v>42363</v>
      </c>
      <c r="H20" s="77">
        <f>_xll.qlInterestRateIndexMaturity(IborIndex,G20,Trigger)</f>
        <v>42548</v>
      </c>
      <c r="I20" s="76">
        <f>_xll.qlIndexFixing(IborIndex,F20,TRUE,InterestRatesTrigger)</f>
        <v>1.1471443672093076E-3</v>
      </c>
      <c r="J20" s="101" t="str">
        <f>Contribution!O20</f>
        <v>JPY6M3X9F=</v>
      </c>
      <c r="K20" s="101" t="str">
        <f t="shared" si="2"/>
        <v>JPY3X9F=ICAP</v>
      </c>
      <c r="L20" s="65"/>
      <c r="M20" s="109"/>
      <c r="N20" s="4"/>
      <c r="O20" s="109"/>
      <c r="P20" s="109"/>
      <c r="Q20" s="109"/>
      <c r="R20" s="65"/>
      <c r="S20" s="65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113</v>
      </c>
      <c r="D21" s="24" t="str">
        <f t="shared" si="3"/>
        <v>10M</v>
      </c>
      <c r="E21" s="36" t="s">
        <v>90</v>
      </c>
      <c r="F21" s="77">
        <f>_xll.qlInterestRateIndexFixingDate(IborIndex,G21,Trigger)</f>
        <v>42390</v>
      </c>
      <c r="G21" s="77">
        <f>_xll.qlCalendarAdvance(Calendar,SettlementDate,B21&amp;"M","mf",TRUE)</f>
        <v>42394</v>
      </c>
      <c r="H21" s="77">
        <f>_xll.qlInterestRateIndexMaturity(IborIndex,G21,Trigger)</f>
        <v>42576</v>
      </c>
      <c r="I21" s="76">
        <f>_xll.qlIndexFixing(IborIndex,F21,TRUE,InterestRatesTrigger)</f>
        <v>1.0937566923666616E-3</v>
      </c>
      <c r="J21" s="101" t="str">
        <f>Contribution!O21</f>
        <v>JPY6M4X10F=</v>
      </c>
      <c r="K21" s="101" t="str">
        <f t="shared" si="2"/>
        <v>JPY4X10F=ICAP</v>
      </c>
      <c r="L21" s="65"/>
      <c r="M21" s="109"/>
      <c r="N21" s="4"/>
      <c r="O21" s="109"/>
      <c r="P21" s="109"/>
      <c r="Q21" s="109"/>
      <c r="R21" s="65"/>
      <c r="S21" s="65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113</v>
      </c>
      <c r="D22" s="24" t="str">
        <f t="shared" si="3"/>
        <v>11M</v>
      </c>
      <c r="E22" s="36" t="s">
        <v>90</v>
      </c>
      <c r="F22" s="77">
        <f>_xll.qlInterestRateIndexFixingDate(IborIndex,G22,Trigger)</f>
        <v>42423</v>
      </c>
      <c r="G22" s="77">
        <f>_xll.qlCalendarAdvance(Calendar,SettlementDate,B22&amp;"M","mf",TRUE)</f>
        <v>42425</v>
      </c>
      <c r="H22" s="77">
        <f>_xll.qlInterestRateIndexMaturity(IborIndex,G22,Trigger)</f>
        <v>42607</v>
      </c>
      <c r="I22" s="76">
        <f>_xll.qlIndexFixing(IborIndex,F22,TRUE,InterestRatesTrigger)</f>
        <v>1.0479045158929578E-3</v>
      </c>
      <c r="J22" s="101" t="str">
        <f>Contribution!O22</f>
        <v>JPY6M5X11F=</v>
      </c>
      <c r="K22" s="101" t="str">
        <f t="shared" si="2"/>
        <v>JPY5X11F=ICAP</v>
      </c>
      <c r="L22" s="65"/>
      <c r="M22" s="109"/>
      <c r="N22" s="4"/>
      <c r="O22" s="109"/>
      <c r="P22" s="109"/>
      <c r="Q22" s="109"/>
      <c r="R22" s="65"/>
      <c r="S22" s="65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113</v>
      </c>
      <c r="D23" s="24" t="str">
        <f t="shared" si="3"/>
        <v>12M</v>
      </c>
      <c r="E23" s="36" t="s">
        <v>90</v>
      </c>
      <c r="F23" s="77">
        <f>_xll.qlInterestRateIndexFixingDate(IborIndex,G23,Trigger)</f>
        <v>42452</v>
      </c>
      <c r="G23" s="77">
        <f>_xll.qlCalendarAdvance(Calendar,SettlementDate,B23&amp;"M","mf",TRUE)</f>
        <v>42454</v>
      </c>
      <c r="H23" s="77">
        <f>_xll.qlInterestRateIndexMaturity(IborIndex,G23,Trigger)</f>
        <v>42639</v>
      </c>
      <c r="I23" s="76">
        <f>_xll.qlIndexFixing(IborIndex,F23,TRUE,InterestRatesTrigger)</f>
        <v>1.0506750279503667E-3</v>
      </c>
      <c r="J23" s="101" t="str">
        <f>Contribution!O23</f>
        <v>JPY6M6X12F=</v>
      </c>
      <c r="K23" s="101" t="str">
        <f t="shared" si="2"/>
        <v>JPY6X12F=ICAP</v>
      </c>
      <c r="L23" s="65"/>
      <c r="M23" s="109"/>
      <c r="N23" s="4"/>
      <c r="O23" s="109"/>
      <c r="P23" s="109"/>
      <c r="Q23" s="109"/>
      <c r="R23" s="65"/>
      <c r="S23" s="65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113</v>
      </c>
      <c r="D24" s="24" t="str">
        <f t="shared" si="3"/>
        <v>15M</v>
      </c>
      <c r="E24" s="36" t="s">
        <v>90</v>
      </c>
      <c r="F24" s="77">
        <f>_xll.qlInterestRateIndexFixingDate(IborIndex,G24,Trigger)</f>
        <v>42544</v>
      </c>
      <c r="G24" s="77">
        <f>_xll.qlCalendarAdvance(Calendar,SettlementDate,B24&amp;"M","mf",TRUE)</f>
        <v>42548</v>
      </c>
      <c r="H24" s="77">
        <f>_xll.qlInterestRateIndexMaturity(IborIndex,G24,Trigger)</f>
        <v>42731</v>
      </c>
      <c r="I24" s="76">
        <f>_xll.qlIndexFixing(IborIndex,F24,TRUE,InterestRatesTrigger)</f>
        <v>1.0489295709326472E-3</v>
      </c>
      <c r="J24" s="101"/>
      <c r="K24" s="101"/>
      <c r="L24" s="65"/>
      <c r="M24" s="107" t="s">
        <v>56</v>
      </c>
      <c r="N24" s="120"/>
      <c r="O24" s="8" t="s">
        <v>51</v>
      </c>
      <c r="P24" s="8" t="s">
        <v>112</v>
      </c>
      <c r="Q24" s="8" t="s">
        <v>52</v>
      </c>
      <c r="R24" s="65"/>
      <c r="S24" s="65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98</v>
      </c>
      <c r="E25" s="33" t="s">
        <v>94</v>
      </c>
      <c r="F25" s="74">
        <f t="shared" ref="F25" si="4">EvaluationDate</f>
        <v>42265</v>
      </c>
      <c r="G25" s="74">
        <f>_xll.qlInterestRateIndexValueDate(M25,F25,Trigger)</f>
        <v>42272</v>
      </c>
      <c r="H25" s="74">
        <f>_xll.qlInterestRateIndexMaturity(M25,G25,Trigger)</f>
        <v>42821</v>
      </c>
      <c r="I25" s="75">
        <f>_xll.qlIndexFixing(M25,F25,TRUE,InterestRatesTrigger)</f>
        <v>1.0999993785273615E-3</v>
      </c>
      <c r="J25" s="100" t="str">
        <f>Contribution!O25</f>
        <v>JPY6M18M=</v>
      </c>
      <c r="K25" s="100" t="str">
        <f t="shared" ref="K25:K39" si="5">Currency&amp;"SB6L"&amp;D25&amp;"=ICAP"</f>
        <v>JPYSB6L18M=ICAP</v>
      </c>
      <c r="L25" s="65"/>
      <c r="M25" s="94" t="str">
        <f>_xll.qlSwapIndex(,"Libor",D25,SettlementDays,Currency,Calendar,FixedLegTenor,FixedLegBDC,FixedLegDayCounter,IborIndex,"JPYON",,Trigger)</f>
        <v>obj_00487#0002</v>
      </c>
      <c r="N25" s="120"/>
      <c r="O25" s="34" t="s">
        <v>18</v>
      </c>
      <c r="P25" s="34" t="s">
        <v>87</v>
      </c>
      <c r="Q25" s="34" t="s">
        <v>53</v>
      </c>
      <c r="R25" s="65"/>
      <c r="S25" s="65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7">
        <f t="shared" ref="F26:F39" si="6">EvaluationDate</f>
        <v>42265</v>
      </c>
      <c r="G26" s="77">
        <f>_xll.qlInterestRateIndexValueDate(M26,F26,Trigger)</f>
        <v>42272</v>
      </c>
      <c r="H26" s="77">
        <f>_xll.qlInterestRateIndexMaturity(M26,G26,Trigger)</f>
        <v>43003</v>
      </c>
      <c r="I26" s="76">
        <f>_xll.qlIndexFixing(M26,F26,TRUE,InterestRatesTrigger)</f>
        <v>1.0749995461240077E-3</v>
      </c>
      <c r="J26" s="101" t="str">
        <f>Contribution!O26</f>
        <v>JPY6M2Y=</v>
      </c>
      <c r="K26" s="101" t="str">
        <f t="shared" si="5"/>
        <v>JPYSB6L2Y=ICAP</v>
      </c>
      <c r="L26" s="65"/>
      <c r="M26" s="61" t="str">
        <f>_xll.qlSwapIndex(,"Libor",D26,SettlementDays,Currency,Calendar,FixedLegTenor,FixedLegBDC,FixedLegDayCounter,IborIndex,"JPYON",,Trigger)</f>
        <v>obj_00491#0002</v>
      </c>
      <c r="N26" s="120"/>
      <c r="O26" s="110"/>
      <c r="P26" s="119"/>
      <c r="Q26" s="110"/>
      <c r="R26" s="65"/>
      <c r="S26" s="65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7">
        <f t="shared" si="6"/>
        <v>42265</v>
      </c>
      <c r="G27" s="77">
        <f>_xll.qlInterestRateIndexValueDate(M27,F27,Trigger)</f>
        <v>42272</v>
      </c>
      <c r="H27" s="77">
        <f>_xll.qlInterestRateIndexMaturity(M27,G27,Trigger)</f>
        <v>43368</v>
      </c>
      <c r="I27" s="76">
        <f>_xll.qlIndexFixing(M27,F27,TRUE,InterestRatesTrigger)</f>
        <v>1.1999996540180938E-3</v>
      </c>
      <c r="J27" s="101" t="str">
        <f>Contribution!O27</f>
        <v>JPY6M3Y=</v>
      </c>
      <c r="K27" s="101" t="str">
        <f t="shared" si="5"/>
        <v>JPYSB6L3Y=ICAP</v>
      </c>
      <c r="L27" s="65"/>
      <c r="M27" s="61" t="str">
        <f>_xll.qlSwapIndex(,"Libor",D27,SettlementDays,Currency,Calendar,FixedLegTenor,FixedLegBDC,FixedLegDayCounter,IborIndex,"JPYON",,Trigger)</f>
        <v>obj_00490#0002</v>
      </c>
      <c r="N27" s="120"/>
      <c r="O27" s="109"/>
      <c r="P27" s="4"/>
      <c r="Q27" s="109"/>
      <c r="R27" s="65"/>
      <c r="S27" s="65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7">
        <f t="shared" si="6"/>
        <v>42265</v>
      </c>
      <c r="G28" s="77">
        <f>_xll.qlInterestRateIndexValueDate(M28,F28,Trigger)</f>
        <v>42272</v>
      </c>
      <c r="H28" s="77">
        <f>_xll.qlInterestRateIndexMaturity(M28,G28,Trigger)</f>
        <v>43733</v>
      </c>
      <c r="I28" s="76">
        <f>_xll.qlIndexFixing(M28,F28,TRUE,InterestRatesTrigger)</f>
        <v>1.5249996559332352E-3</v>
      </c>
      <c r="J28" s="101" t="str">
        <f>Contribution!O28</f>
        <v>JPY6M4Y=</v>
      </c>
      <c r="K28" s="101" t="str">
        <f t="shared" si="5"/>
        <v>JPYSB6L4Y=ICAP</v>
      </c>
      <c r="L28" s="65"/>
      <c r="M28" s="61" t="str">
        <f>_xll.qlSwapIndex(,"Libor",D28,SettlementDays,Currency,Calendar,FixedLegTenor,FixedLegBDC,FixedLegDayCounter,IborIndex,"JPYON",,Trigger)</f>
        <v>obj_00496#0002</v>
      </c>
      <c r="N28" s="120"/>
      <c r="O28" s="109"/>
      <c r="P28" s="4"/>
      <c r="Q28" s="109"/>
      <c r="R28" s="65"/>
      <c r="S28" s="65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7">
        <f t="shared" si="6"/>
        <v>42265</v>
      </c>
      <c r="G29" s="77">
        <f>_xll.qlInterestRateIndexValueDate(M29,F29,Trigger)</f>
        <v>42272</v>
      </c>
      <c r="H29" s="77">
        <f>_xll.qlInterestRateIndexMaturity(M29,G29,Trigger)</f>
        <v>44099</v>
      </c>
      <c r="I29" s="76">
        <f>_xll.qlIndexFixing(M29,F29,TRUE,InterestRatesTrigger)</f>
        <v>2.0249996215714662E-3</v>
      </c>
      <c r="J29" s="101" t="str">
        <f>Contribution!O29</f>
        <v>JPY6M5Y=</v>
      </c>
      <c r="K29" s="101" t="str">
        <f t="shared" si="5"/>
        <v>JPYSB6L5Y=ICAP</v>
      </c>
      <c r="L29" s="65"/>
      <c r="M29" s="61" t="str">
        <f>_xll.qlSwapIndex(,"Libor",D29,SettlementDays,Currency,Calendar,FixedLegTenor,FixedLegBDC,FixedLegDayCounter,IborIndex,"JPYON",,Trigger)</f>
        <v>obj_00499#0002</v>
      </c>
      <c r="N29" s="120"/>
      <c r="O29" s="109"/>
      <c r="P29" s="4"/>
      <c r="Q29" s="109"/>
      <c r="R29" s="65"/>
      <c r="S29" s="65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7">
        <f t="shared" si="6"/>
        <v>42265</v>
      </c>
      <c r="G30" s="77">
        <f>_xll.qlInterestRateIndexValueDate(M30,F30,Trigger)</f>
        <v>42272</v>
      </c>
      <c r="H30" s="77">
        <f>_xll.qlInterestRateIndexMaturity(M30,G30,Trigger)</f>
        <v>44466</v>
      </c>
      <c r="I30" s="76">
        <f>_xll.qlIndexFixing(M30,F30,TRUE,InterestRatesTrigger)</f>
        <v>2.599999585394037E-3</v>
      </c>
      <c r="J30" s="101" t="str">
        <f>Contribution!O30</f>
        <v>JPY6M6Y=</v>
      </c>
      <c r="K30" s="101" t="str">
        <f t="shared" si="5"/>
        <v>JPYSB6L6Y=ICAP</v>
      </c>
      <c r="L30" s="65"/>
      <c r="M30" s="61" t="str">
        <f>_xll.qlSwapIndex(,"Libor",D30,SettlementDays,Currency,Calendar,FixedLegTenor,FixedLegBDC,FixedLegDayCounter,IborIndex,"JPYON",,Trigger)</f>
        <v>obj_0048f#0002</v>
      </c>
      <c r="N30" s="120"/>
      <c r="O30" s="109"/>
      <c r="P30" s="4"/>
      <c r="Q30" s="109"/>
      <c r="R30" s="65"/>
      <c r="S30" s="65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7">
        <f t="shared" si="6"/>
        <v>42265</v>
      </c>
      <c r="G31" s="77">
        <f>_xll.qlInterestRateIndexValueDate(M31,F31,Trigger)</f>
        <v>42272</v>
      </c>
      <c r="H31" s="77">
        <f>_xll.qlInterestRateIndexMaturity(M31,G31,Trigger)</f>
        <v>44830</v>
      </c>
      <c r="I31" s="76">
        <f>_xll.qlIndexFixing(M31,F31,TRUE,InterestRatesTrigger)</f>
        <v>3.2499995475105139E-3</v>
      </c>
      <c r="J31" s="101" t="str">
        <f>Contribution!O31</f>
        <v>JPY6M7Y=</v>
      </c>
      <c r="K31" s="101" t="str">
        <f t="shared" si="5"/>
        <v>JPYSB6L7Y=ICAP</v>
      </c>
      <c r="L31" s="65"/>
      <c r="M31" s="61" t="str">
        <f>_xll.qlSwapIndex(,"Libor",D31,SettlementDays,Currency,Calendar,FixedLegTenor,FixedLegBDC,FixedLegDayCounter,IborIndex,"JPYON",,Trigger)</f>
        <v>obj_0047c#0002</v>
      </c>
      <c r="N31" s="120"/>
      <c r="O31" s="109"/>
      <c r="P31" s="4"/>
      <c r="Q31" s="109"/>
      <c r="R31" s="65"/>
      <c r="S31" s="65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7">
        <f t="shared" si="6"/>
        <v>42265</v>
      </c>
      <c r="G32" s="77">
        <f>_xll.qlInterestRateIndexValueDate(M32,F32,Trigger)</f>
        <v>42272</v>
      </c>
      <c r="H32" s="77">
        <f>_xll.qlInterestRateIndexMaturity(M32,G32,Trigger)</f>
        <v>45194</v>
      </c>
      <c r="I32" s="76">
        <f>_xll.qlIndexFixing(M32,F32,TRUE,InterestRatesTrigger)</f>
        <v>3.9249995153951018E-3</v>
      </c>
      <c r="J32" s="101" t="str">
        <f>Contribution!O32</f>
        <v>JPY6M8Y=</v>
      </c>
      <c r="K32" s="101" t="str">
        <f t="shared" si="5"/>
        <v>JPYSB6L8Y=ICAP</v>
      </c>
      <c r="L32" s="65"/>
      <c r="M32" s="61" t="str">
        <f>_xll.qlSwapIndex(,"Libor",D32,SettlementDays,Currency,Calendar,FixedLegTenor,FixedLegBDC,FixedLegDayCounter,IborIndex,"JPYON",,Trigger)</f>
        <v>obj_00494#0002</v>
      </c>
      <c r="N32" s="120"/>
      <c r="O32" s="109"/>
      <c r="P32" s="4"/>
      <c r="Q32" s="109"/>
      <c r="R32" s="65"/>
      <c r="S32" s="65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7">
        <f t="shared" si="6"/>
        <v>42265</v>
      </c>
      <c r="G33" s="77">
        <f>_xll.qlInterestRateIndexValueDate(M33,F33,Trigger)</f>
        <v>42272</v>
      </c>
      <c r="H33" s="77">
        <f>_xll.qlInterestRateIndexMaturity(M33,G33,Trigger)</f>
        <v>45560</v>
      </c>
      <c r="I33" s="76">
        <f>_xll.qlIndexFixing(M33,F33,TRUE,InterestRatesTrigger)</f>
        <v>4.6249994873199815E-3</v>
      </c>
      <c r="J33" s="101" t="str">
        <f>Contribution!O33</f>
        <v>JPY6M9Y=</v>
      </c>
      <c r="K33" s="101" t="str">
        <f t="shared" si="5"/>
        <v>JPYSB6L9Y=ICAP</v>
      </c>
      <c r="L33" s="65"/>
      <c r="M33" s="61" t="str">
        <f>_xll.qlSwapIndex(,"Libor",D33,SettlementDays,Currency,Calendar,FixedLegTenor,FixedLegBDC,FixedLegDayCounter,IborIndex,"JPYON",,Trigger)</f>
        <v>obj_00497#0002</v>
      </c>
      <c r="N33" s="120"/>
      <c r="O33" s="109"/>
      <c r="P33" s="4"/>
      <c r="Q33" s="109"/>
      <c r="R33" s="65"/>
      <c r="S33" s="65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7">
        <f t="shared" si="6"/>
        <v>42265</v>
      </c>
      <c r="G34" s="77">
        <f>_xll.qlInterestRateIndexValueDate(M34,F34,Trigger)</f>
        <v>42272</v>
      </c>
      <c r="H34" s="77">
        <f>_xll.qlInterestRateIndexMaturity(M34,G34,Trigger)</f>
        <v>45925</v>
      </c>
      <c r="I34" s="76">
        <f>_xll.qlIndexFixing(M34,F34,TRUE,InterestRatesTrigger)</f>
        <v>5.3249994639298871E-3</v>
      </c>
      <c r="J34" s="101" t="str">
        <f>Contribution!O34</f>
        <v>JPY6M10Y=</v>
      </c>
      <c r="K34" s="101" t="str">
        <f t="shared" si="5"/>
        <v>JPYSB6L10Y=ICAP</v>
      </c>
      <c r="L34" s="65"/>
      <c r="M34" s="61" t="str">
        <f>_xll.qlSwapIndex(,"Libor",D34,SettlementDays,Currency,Calendar,FixedLegTenor,FixedLegBDC,FixedLegDayCounter,IborIndex,"JPYON",,Trigger)</f>
        <v>obj_00480#0002</v>
      </c>
      <c r="N34" s="120"/>
      <c r="O34" s="109"/>
      <c r="P34" s="4"/>
      <c r="Q34" s="109"/>
      <c r="R34" s="65"/>
      <c r="S34" s="65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7">
        <f t="shared" si="6"/>
        <v>42265</v>
      </c>
      <c r="G35" s="77">
        <f>_xll.qlInterestRateIndexValueDate(M35,F35,Trigger)</f>
        <v>42272</v>
      </c>
      <c r="H35" s="77">
        <f>_xll.qlInterestRateIndexMaturity(M35,G35,Trigger)</f>
        <v>46657</v>
      </c>
      <c r="I35" s="76">
        <f>_xll.qlIndexFixing(M35,F35,TRUE,InterestRatesTrigger)</f>
        <v>6.7749994231983829E-3</v>
      </c>
      <c r="J35" s="101" t="str">
        <f>Contribution!O35</f>
        <v>JPY6M12Y=</v>
      </c>
      <c r="K35" s="101" t="str">
        <f t="shared" si="5"/>
        <v>JPYSB6L12Y=ICAP</v>
      </c>
      <c r="L35" s="65"/>
      <c r="M35" s="61" t="str">
        <f>_xll.qlSwapIndex(,"Libor",D35,SettlementDays,Currency,Calendar,FixedLegTenor,FixedLegBDC,FixedLegDayCounter,IborIndex,"JPYON",,Trigger)</f>
        <v>obj_00489#0002</v>
      </c>
      <c r="N35" s="120"/>
      <c r="O35" s="109"/>
      <c r="P35" s="4"/>
      <c r="Q35" s="109"/>
      <c r="R35" s="65"/>
      <c r="S35" s="65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7">
        <f t="shared" si="6"/>
        <v>42265</v>
      </c>
      <c r="G36" s="77">
        <f>_xll.qlInterestRateIndexValueDate(M36,F36,Trigger)</f>
        <v>42272</v>
      </c>
      <c r="H36" s="77">
        <f>_xll.qlInterestRateIndexMaturity(M36,G36,Trigger)</f>
        <v>47751</v>
      </c>
      <c r="I36" s="76">
        <f>_xll.qlIndexFixing(M36,F36,TRUE,InterestRatesTrigger)</f>
        <v>8.9249993787843349E-3</v>
      </c>
      <c r="J36" s="101" t="str">
        <f>Contribution!O36</f>
        <v>JPY6M15Y=</v>
      </c>
      <c r="K36" s="101" t="str">
        <f t="shared" si="5"/>
        <v>JPYSB6L15Y=ICAP</v>
      </c>
      <c r="L36" s="65"/>
      <c r="M36" s="61" t="str">
        <f>_xll.qlSwapIndex(,"Libor",D36,SettlementDays,Currency,Calendar,FixedLegTenor,FixedLegBDC,FixedLegDayCounter,IborIndex,"JPYON",,Trigger)</f>
        <v>obj_00495#0002</v>
      </c>
      <c r="N36" s="120"/>
      <c r="O36" s="109"/>
      <c r="P36" s="4"/>
      <c r="Q36" s="109"/>
      <c r="R36" s="65"/>
      <c r="S36" s="65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7">
        <f t="shared" si="6"/>
        <v>42265</v>
      </c>
      <c r="G37" s="77">
        <f>_xll.qlInterestRateIndexValueDate(M37,F37,Trigger)</f>
        <v>42272</v>
      </c>
      <c r="H37" s="77">
        <f>_xll.qlInterestRateIndexMaturity(M37,G37,Trigger)</f>
        <v>49577</v>
      </c>
      <c r="I37" s="76">
        <f>_xll.qlIndexFixing(M37,F37,TRUE,InterestRatesTrigger)</f>
        <v>1.1674999245849887E-2</v>
      </c>
      <c r="J37" s="101" t="str">
        <f>Contribution!O37</f>
        <v>JPY6M20Y=</v>
      </c>
      <c r="K37" s="101" t="str">
        <f t="shared" si="5"/>
        <v>JPYSB6L20Y=ICAP</v>
      </c>
      <c r="L37" s="65"/>
      <c r="M37" s="61" t="str">
        <f>_xll.qlSwapIndex(,"Libor",D37,SettlementDays,Currency,Calendar,FixedLegTenor,FixedLegBDC,FixedLegDayCounter,IborIndex,"JPYON",,Trigger)</f>
        <v>obj_0048e#0002</v>
      </c>
      <c r="N37" s="120"/>
      <c r="O37" s="109"/>
      <c r="P37" s="4"/>
      <c r="Q37" s="109"/>
      <c r="R37" s="65"/>
      <c r="S37" s="65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7">
        <f t="shared" si="6"/>
        <v>42265</v>
      </c>
      <c r="G38" s="77">
        <f>_xll.qlInterestRateIndexValueDate(M38,F38,Trigger)</f>
        <v>42272</v>
      </c>
      <c r="H38" s="77">
        <f>_xll.qlInterestRateIndexMaturity(M38,G38,Trigger)</f>
        <v>51404</v>
      </c>
      <c r="I38" s="76">
        <f>_xll.qlIndexFixing(M38,F38,TRUE,InterestRatesTrigger)</f>
        <v>1.3199999293364746E-2</v>
      </c>
      <c r="J38" s="101" t="str">
        <f>Contribution!O38</f>
        <v>JPY6M25Y=</v>
      </c>
      <c r="K38" s="101" t="str">
        <f t="shared" si="5"/>
        <v>JPYSB6L25Y=ICAP</v>
      </c>
      <c r="L38" s="65"/>
      <c r="M38" s="61" t="str">
        <f>_xll.qlSwapIndex(,"Libor",D38,SettlementDays,Currency,Calendar,FixedLegTenor,FixedLegBDC,FixedLegDayCounter,IborIndex,"JPYON",,Trigger)</f>
        <v>obj_00488#0002</v>
      </c>
      <c r="N38" s="120"/>
      <c r="O38" s="109"/>
      <c r="P38" s="4"/>
      <c r="Q38" s="109"/>
      <c r="R38" s="65"/>
      <c r="S38" s="65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8">
        <f t="shared" si="6"/>
        <v>42265</v>
      </c>
      <c r="G39" s="78">
        <f>_xll.qlInterestRateIndexValueDate(M39,F39,Trigger)</f>
        <v>42272</v>
      </c>
      <c r="H39" s="78">
        <f>_xll.qlInterestRateIndexMaturity(M39,G39,Trigger)</f>
        <v>53230</v>
      </c>
      <c r="I39" s="79">
        <f>_xll.qlIndexFixing(M39,F39,TRUE,InterestRatesTrigger)</f>
        <v>1.4049999349311112E-2</v>
      </c>
      <c r="J39" s="102" t="str">
        <f>Contribution!O39</f>
        <v>JPY6M30Y=</v>
      </c>
      <c r="K39" s="102" t="str">
        <f t="shared" si="5"/>
        <v>JPYSB6L30Y=ICAP</v>
      </c>
      <c r="L39" s="65"/>
      <c r="M39" s="108" t="str">
        <f>_xll.qlSwapIndex(,"Libor",D39,SettlementDays,Currency,Calendar,FixedLegTenor,FixedLegBDC,FixedLegDayCounter,IborIndex,"JPYON",,Trigger)</f>
        <v>obj_00483#0002</v>
      </c>
      <c r="N39" s="120"/>
      <c r="O39" s="109"/>
      <c r="P39" s="4"/>
      <c r="Q39" s="109"/>
      <c r="R39" s="65"/>
      <c r="S39" s="65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8"/>
      <c r="C40" s="119"/>
      <c r="D40" s="119"/>
      <c r="E40" s="110"/>
      <c r="F40" s="110"/>
      <c r="G40" s="109"/>
      <c r="H40" s="109"/>
      <c r="I40" s="109"/>
      <c r="J40" s="65"/>
      <c r="K40" s="110"/>
      <c r="L40" s="109"/>
      <c r="M40" s="110"/>
      <c r="N40" s="109"/>
      <c r="O40" s="109"/>
      <c r="P40" s="65"/>
      <c r="Q40" s="109"/>
      <c r="R40" s="109"/>
      <c r="S40" s="65"/>
      <c r="T40" s="2"/>
      <c r="U40" s="2"/>
      <c r="V40" s="2"/>
      <c r="W40" s="2"/>
      <c r="X40" s="2"/>
      <c r="Y40" s="2"/>
      <c r="Z40" s="2"/>
    </row>
    <row r="41" spans="1:26" x14ac:dyDescent="0.2">
      <c r="A41" s="116"/>
      <c r="B41" s="117"/>
      <c r="C41" s="4"/>
      <c r="D41" s="4"/>
      <c r="E41" s="109"/>
      <c r="F41" s="109"/>
      <c r="G41" s="109"/>
      <c r="H41" s="109"/>
      <c r="I41" s="109"/>
      <c r="J41" s="65"/>
      <c r="K41" s="109"/>
      <c r="L41" s="109"/>
      <c r="M41" s="109"/>
      <c r="N41" s="109"/>
      <c r="O41" s="109"/>
      <c r="P41" s="65"/>
      <c r="Q41" s="65"/>
      <c r="R41" s="65"/>
      <c r="S41" s="65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P25 P8 P12">
      <formula1>"Following,Modified Following,Preceding,Modified Preceding,Unadjusted,Half-Month Modified Following"</formula1>
    </dataValidation>
    <dataValidation type="list" allowBlank="1" showInputMessage="1" showErrorMessage="1" sqref="Q25 Q8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BARONE RICCARDO</cp:lastModifiedBy>
  <cp:lastPrinted>2013-07-11T09:05:29Z</cp:lastPrinted>
  <dcterms:created xsi:type="dcterms:W3CDTF">2013-06-26T06:50:40Z</dcterms:created>
  <dcterms:modified xsi:type="dcterms:W3CDTF">2015-09-17T14:47:13Z</dcterms:modified>
</cp:coreProperties>
</file>