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firstSheet="1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L3" i="33" l="1"/>
  <c r="L4" i="33"/>
  <c r="L5" i="33"/>
  <c r="L6" i="33"/>
  <c r="L7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1"/>
  <c r="R3" i="52"/>
  <c r="R3" i="40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4" i="45"/>
  <c r="K6" i="45"/>
  <c r="K7" i="45"/>
  <c r="K8" i="45"/>
  <c r="K5" i="45"/>
  <c r="L1" i="45"/>
  <c r="K9" i="45"/>
  <c r="D6" i="40" l="1"/>
  <c r="D5" i="40"/>
  <c r="A7" i="40"/>
  <c r="L6" i="45"/>
  <c r="L4" i="45"/>
  <c r="L8" i="45"/>
  <c r="L5" i="45"/>
  <c r="L9" i="45"/>
  <c r="L7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R7" i="45"/>
  <c r="G25" i="52"/>
  <c r="H22" i="52"/>
  <c r="U13" i="45"/>
  <c r="E15" i="52"/>
  <c r="H23" i="52"/>
  <c r="T13" i="45"/>
  <c r="G28" i="52"/>
  <c r="G30" i="40"/>
  <c r="E9" i="51"/>
  <c r="E9" i="52"/>
  <c r="M9" i="52"/>
  <c r="G31" i="51"/>
  <c r="H33" i="40"/>
  <c r="G29" i="52"/>
  <c r="H28" i="51"/>
  <c r="E16" i="52"/>
  <c r="H21" i="52"/>
  <c r="T12" i="45"/>
  <c r="E10" i="51"/>
  <c r="E7" i="51"/>
  <c r="L7" i="51"/>
  <c r="G34" i="52"/>
  <c r="E5" i="51"/>
  <c r="H26" i="51"/>
  <c r="H35" i="52"/>
  <c r="H27" i="52"/>
  <c r="E13" i="52"/>
  <c r="H20" i="52"/>
  <c r="G24" i="52"/>
  <c r="E11" i="52"/>
  <c r="F11" i="52" s="1"/>
  <c r="L10" i="51"/>
  <c r="H28" i="40"/>
  <c r="H33" i="52"/>
  <c r="H29" i="40"/>
  <c r="H25" i="40"/>
  <c r="H30" i="40"/>
  <c r="E8" i="52"/>
  <c r="M8" i="52" s="1"/>
  <c r="H25" i="52"/>
  <c r="R8" i="45"/>
  <c r="R6" i="45"/>
  <c r="E10" i="52"/>
  <c r="M10" i="52" s="1"/>
  <c r="G21" i="52"/>
  <c r="G33" i="52"/>
  <c r="H31" i="51"/>
  <c r="G30" i="52"/>
  <c r="G27" i="51"/>
  <c r="G32" i="40"/>
  <c r="H34" i="40"/>
  <c r="H25" i="51"/>
  <c r="U12" i="45"/>
  <c r="G22" i="52"/>
  <c r="L9" i="51"/>
  <c r="G25" i="40"/>
  <c r="E17" i="52"/>
  <c r="M17" i="52" s="1"/>
  <c r="H27" i="40"/>
  <c r="U15" i="45"/>
  <c r="U14" i="45"/>
  <c r="L5" i="51"/>
  <c r="R5" i="45"/>
  <c r="E7" i="52"/>
  <c r="E6" i="51"/>
  <c r="H32" i="40"/>
  <c r="G29" i="40"/>
  <c r="H32" i="52"/>
  <c r="G20" i="52"/>
  <c r="G23" i="52"/>
  <c r="H34" i="52"/>
  <c r="G35" i="52"/>
  <c r="T14" i="45"/>
  <c r="G27" i="40"/>
  <c r="M11" i="52"/>
  <c r="G32" i="52"/>
  <c r="G28" i="51"/>
  <c r="H29" i="52"/>
  <c r="H26" i="52"/>
  <c r="G30" i="51"/>
  <c r="H31" i="40"/>
  <c r="E5" i="52"/>
  <c r="G27" i="52"/>
  <c r="G31" i="52"/>
  <c r="G25" i="51"/>
  <c r="G29" i="51"/>
  <c r="C11" i="51"/>
  <c r="E12" i="52"/>
  <c r="G26" i="40"/>
  <c r="H27" i="51"/>
  <c r="H28" i="52"/>
  <c r="U11" i="45"/>
  <c r="M15" i="52"/>
  <c r="H31" i="52"/>
  <c r="G33" i="40"/>
  <c r="E14" i="52"/>
  <c r="M14" i="52" s="1"/>
  <c r="G26" i="51"/>
  <c r="T15" i="45"/>
  <c r="E6" i="52"/>
  <c r="H30" i="51"/>
  <c r="E8" i="51"/>
  <c r="G31" i="40"/>
  <c r="T11" i="45"/>
  <c r="H26" i="40"/>
  <c r="M7" i="52"/>
  <c r="H24" i="52"/>
  <c r="H29" i="51"/>
  <c r="H30" i="52"/>
  <c r="G34" i="40"/>
  <c r="G26" i="52"/>
  <c r="G28" i="40"/>
  <c r="L6" i="51"/>
  <c r="F6" i="51"/>
  <c r="E11" i="51"/>
  <c r="C12" i="51"/>
  <c r="L8" i="51"/>
  <c r="F8" i="51"/>
  <c r="L11" i="51"/>
  <c r="F11" i="51"/>
  <c r="C13" i="51"/>
  <c r="E12" i="51"/>
  <c r="C14" i="51"/>
  <c r="E13" i="51"/>
  <c r="L12" i="51"/>
  <c r="F12" i="51"/>
  <c r="C15" i="51"/>
  <c r="E14" i="51"/>
  <c r="L13" i="51"/>
  <c r="F13" i="51"/>
  <c r="E15" i="51"/>
  <c r="C16" i="51"/>
  <c r="L14" i="51"/>
  <c r="F14" i="51"/>
  <c r="L15" i="51"/>
  <c r="F15" i="51"/>
  <c r="C17" i="51"/>
  <c r="E16" i="51"/>
  <c r="E17" i="51"/>
  <c r="C18" i="51"/>
  <c r="L16" i="51"/>
  <c r="F16" i="51"/>
  <c r="L17" i="51"/>
  <c r="F17" i="51"/>
  <c r="E18" i="51"/>
  <c r="C19" i="51"/>
  <c r="L18" i="51"/>
  <c r="F18" i="51"/>
  <c r="E19" i="51"/>
  <c r="C20" i="51"/>
  <c r="L19" i="51"/>
  <c r="F19" i="51"/>
  <c r="C21" i="51"/>
  <c r="E20" i="51"/>
  <c r="E21" i="51"/>
  <c r="C22" i="51"/>
  <c r="L20" i="51"/>
  <c r="F20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6" i="52"/>
  <c r="F10" i="52"/>
  <c r="F15" i="52"/>
  <c r="F7" i="51"/>
  <c r="M3" i="52"/>
  <c r="M12" i="52"/>
  <c r="F13" i="52"/>
  <c r="F10" i="51"/>
  <c r="Z4" i="45"/>
  <c r="M5" i="52"/>
  <c r="F9" i="51"/>
  <c r="L3" i="51"/>
  <c r="F4" i="51"/>
  <c r="L4" i="40"/>
  <c r="E22" i="51"/>
  <c r="F14" i="52"/>
  <c r="F12" i="52"/>
  <c r="M16" i="52"/>
  <c r="F17" i="52"/>
  <c r="M13" i="52"/>
  <c r="F7" i="52"/>
  <c r="F3" i="52"/>
  <c r="F6" i="52"/>
  <c r="Z3" i="45"/>
  <c r="M4" i="52"/>
  <c r="F9" i="52"/>
  <c r="F5" i="51"/>
  <c r="F5" i="52"/>
  <c r="L4" i="51"/>
  <c r="F3" i="51"/>
  <c r="F16" i="52"/>
  <c r="F8" i="52"/>
  <c r="F4" i="52"/>
  <c r="F22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43" i="33"/>
  <c r="D42" i="33"/>
  <c r="D51" i="33"/>
  <c r="D56" i="33"/>
  <c r="D45" i="33"/>
  <c r="D48" i="33"/>
  <c r="D59" i="33"/>
  <c r="D54" i="33"/>
  <c r="D60" i="33"/>
  <c r="D41" i="33"/>
  <c r="D47" i="33"/>
  <c r="D58" i="33"/>
  <c r="D53" i="33"/>
  <c r="D62" i="33"/>
  <c r="D55" i="33"/>
  <c r="D46" i="33"/>
  <c r="D50" i="33"/>
  <c r="D61" i="33"/>
  <c r="D63" i="33"/>
  <c r="D52" i="33"/>
  <c r="D49" i="33"/>
  <c r="D44" i="33"/>
  <c r="D57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56" i="33"/>
  <c r="E49" i="33"/>
  <c r="E46" i="33"/>
  <c r="E48" i="33"/>
  <c r="E51" i="33"/>
  <c r="E44" i="33"/>
  <c r="E47" i="33"/>
  <c r="E45" i="33"/>
  <c r="E61" i="33"/>
  <c r="E55" i="33"/>
  <c r="E60" i="33"/>
  <c r="E41" i="33"/>
  <c r="E59" i="33"/>
  <c r="E54" i="33"/>
  <c r="E43" i="33"/>
  <c r="E63" i="33"/>
  <c r="E52" i="33"/>
  <c r="E58" i="33"/>
  <c r="E53" i="33"/>
  <c r="E42" i="33"/>
  <c r="E50" i="33"/>
  <c r="E57" i="33"/>
  <c r="E62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9" i="40"/>
  <c r="D18" i="33"/>
  <c r="C13" i="35"/>
  <c r="D13" i="33"/>
  <c r="B13" i="35"/>
  <c r="D20" i="33"/>
  <c r="D21" i="33"/>
  <c r="E17" i="40"/>
  <c r="B1" i="29"/>
  <c r="C16" i="35"/>
  <c r="B16" i="35" s="1"/>
  <c r="F4" i="40"/>
  <c r="C11" i="35"/>
  <c r="E22" i="40"/>
  <c r="E5" i="40"/>
  <c r="D10" i="33"/>
  <c r="C10" i="35"/>
  <c r="C18" i="35"/>
  <c r="D27" i="33"/>
  <c r="C9" i="35"/>
  <c r="C23" i="35"/>
  <c r="B23" i="35" s="1"/>
  <c r="D23" i="35"/>
  <c r="E12" i="40"/>
  <c r="D12" i="33"/>
  <c r="D37" i="33"/>
  <c r="D16" i="33"/>
  <c r="K3" i="45"/>
  <c r="D29" i="33"/>
  <c r="D6" i="33"/>
  <c r="D3" i="33"/>
  <c r="C27" i="35"/>
  <c r="D10" i="35"/>
  <c r="D31" i="33"/>
  <c r="C17" i="35"/>
  <c r="C3" i="35"/>
  <c r="B3" i="35" s="1"/>
  <c r="E18" i="40"/>
  <c r="D34" i="33"/>
  <c r="C12" i="35"/>
  <c r="D4" i="33"/>
  <c r="E7" i="40"/>
  <c r="C4" i="35"/>
  <c r="D19" i="33"/>
  <c r="D27" i="35"/>
  <c r="D26" i="33"/>
  <c r="D28" i="33"/>
  <c r="B11" i="35"/>
  <c r="D7" i="33"/>
  <c r="C20" i="35"/>
  <c r="D33" i="33"/>
  <c r="E9" i="40"/>
  <c r="L3" i="45"/>
  <c r="C8" i="35"/>
  <c r="D8" i="35" s="1"/>
  <c r="C25" i="35"/>
  <c r="B25" i="35" s="1"/>
  <c r="D11" i="33"/>
  <c r="D39" i="33"/>
  <c r="B10" i="35"/>
  <c r="E21" i="40"/>
  <c r="D9" i="33"/>
  <c r="D40" i="33"/>
  <c r="C15" i="35"/>
  <c r="D13" i="35"/>
  <c r="D22" i="33"/>
  <c r="D25" i="33"/>
  <c r="D17" i="35"/>
  <c r="D9" i="35"/>
  <c r="C7" i="35"/>
  <c r="D7" i="35" s="1"/>
  <c r="E8" i="40"/>
  <c r="C5" i="35"/>
  <c r="C19" i="35"/>
  <c r="D19" i="35" s="1"/>
  <c r="F7" i="40"/>
  <c r="D15" i="33"/>
  <c r="D30" i="33"/>
  <c r="B9" i="35"/>
  <c r="C21" i="35"/>
  <c r="E20" i="40"/>
  <c r="E11" i="40"/>
  <c r="D8" i="33"/>
  <c r="E15" i="40"/>
  <c r="L15" i="40" s="1"/>
  <c r="E10" i="40"/>
  <c r="C22" i="35"/>
  <c r="C14" i="35"/>
  <c r="D24" i="33"/>
  <c r="C26" i="35"/>
  <c r="D32" i="33"/>
  <c r="D15" i="35"/>
  <c r="D14" i="33"/>
  <c r="E14" i="40"/>
  <c r="C24" i="35"/>
  <c r="G13" i="45" a="1"/>
  <c r="D35" i="33"/>
  <c r="D38" i="33"/>
  <c r="E16" i="40"/>
  <c r="B15" i="35"/>
  <c r="D5" i="33"/>
  <c r="D23" i="33"/>
  <c r="E13" i="40"/>
  <c r="C6" i="35"/>
  <c r="D17" i="33"/>
  <c r="E6" i="40"/>
  <c r="D36" i="33"/>
  <c r="F3" i="40"/>
  <c r="B5" i="35"/>
  <c r="D22" i="35"/>
  <c r="B22" i="35"/>
  <c r="D26" i="35"/>
  <c r="B26" i="35"/>
  <c r="G20" i="45" l="1"/>
  <c r="G16" i="45"/>
  <c r="G17" i="45"/>
  <c r="G14" i="45"/>
  <c r="G13" i="45"/>
  <c r="G18" i="45"/>
  <c r="G19" i="45"/>
  <c r="G21" i="45"/>
  <c r="G15" i="45"/>
  <c r="B24" i="35"/>
  <c r="B7" i="35"/>
  <c r="D34" i="29"/>
  <c r="D24" i="35"/>
  <c r="E24" i="33"/>
  <c r="E15" i="33"/>
  <c r="I14" i="45"/>
  <c r="K15" i="45"/>
  <c r="E33" i="33"/>
  <c r="D35" i="29"/>
  <c r="L19" i="40"/>
  <c r="E25" i="33"/>
  <c r="E27" i="33"/>
  <c r="L7" i="40"/>
  <c r="L18" i="40"/>
  <c r="E4" i="33"/>
  <c r="I19" i="45"/>
  <c r="H19" i="45"/>
  <c r="E19" i="33"/>
  <c r="B14" i="35"/>
  <c r="F16" i="40"/>
  <c r="K20" i="45"/>
  <c r="B19" i="35"/>
  <c r="L12" i="40"/>
  <c r="C37" i="29"/>
  <c r="E7" i="33"/>
  <c r="B17" i="35"/>
  <c r="H20" i="45"/>
  <c r="F22" i="40"/>
  <c r="H15" i="45"/>
  <c r="H21" i="45"/>
  <c r="L16" i="40"/>
  <c r="L9" i="40"/>
  <c r="E20" i="33"/>
  <c r="D11" i="35"/>
  <c r="L21" i="40"/>
  <c r="E29" i="33"/>
  <c r="E40" i="33"/>
  <c r="D5" i="35"/>
  <c r="F10" i="40"/>
  <c r="J21" i="45"/>
  <c r="J17" i="45"/>
  <c r="J18" i="45"/>
  <c r="D20" i="35"/>
  <c r="K17" i="45"/>
  <c r="B18" i="35"/>
  <c r="L17" i="45"/>
  <c r="F11" i="40"/>
  <c r="E5" i="33"/>
  <c r="E36" i="33"/>
  <c r="D28" i="29"/>
  <c r="H16" i="45"/>
  <c r="L8" i="40"/>
  <c r="L22" i="40"/>
  <c r="E28" i="33"/>
  <c r="I21" i="45"/>
  <c r="I18" i="45"/>
  <c r="F9" i="40"/>
  <c r="H18" i="45"/>
  <c r="J13" i="45"/>
  <c r="D4" i="35"/>
  <c r="F18" i="40"/>
  <c r="D3" i="35"/>
  <c r="D25" i="35"/>
  <c r="E39" i="33"/>
  <c r="E31" i="33"/>
  <c r="L13" i="40"/>
  <c r="E22" i="33"/>
  <c r="E26" i="33"/>
  <c r="K18" i="45"/>
  <c r="I17" i="45"/>
  <c r="C38" i="29"/>
  <c r="J15" i="45"/>
  <c r="D16" i="35"/>
  <c r="K14" i="45"/>
  <c r="S3" i="45"/>
  <c r="B4" i="35"/>
  <c r="F17" i="40"/>
  <c r="K13" i="45"/>
  <c r="J16" i="45"/>
  <c r="F20" i="40"/>
  <c r="L21" i="45"/>
  <c r="F5" i="40"/>
  <c r="I16" i="45"/>
  <c r="K16" i="45"/>
  <c r="F15" i="40"/>
  <c r="L5" i="40"/>
  <c r="K21" i="45"/>
  <c r="L20" i="45"/>
  <c r="E35" i="33"/>
  <c r="B27" i="35"/>
  <c r="D14" i="35"/>
  <c r="D12" i="35"/>
  <c r="L14" i="45"/>
  <c r="E16" i="33"/>
  <c r="J19" i="45"/>
  <c r="I20" i="45"/>
  <c r="L11" i="40"/>
  <c r="E38" i="33"/>
  <c r="D6" i="35"/>
  <c r="S5" i="45"/>
  <c r="L13" i="45"/>
  <c r="S7" i="45"/>
  <c r="Z8" i="45"/>
  <c r="E34" i="33"/>
  <c r="E37" i="33"/>
  <c r="F13" i="40"/>
  <c r="F21" i="40"/>
  <c r="B8" i="35"/>
  <c r="L16" i="45"/>
  <c r="L6" i="40"/>
  <c r="S4" i="45"/>
  <c r="E3" i="33"/>
  <c r="E17" i="33"/>
  <c r="L18" i="45"/>
  <c r="J14" i="45"/>
  <c r="I13" i="45"/>
  <c r="F19" i="40"/>
  <c r="F14" i="40"/>
  <c r="F8" i="40"/>
  <c r="E6" i="33"/>
  <c r="B20" i="35"/>
  <c r="D37" i="29"/>
  <c r="L14" i="40"/>
  <c r="E30" i="33"/>
  <c r="S6" i="45"/>
  <c r="H13" i="45"/>
  <c r="D21" i="35"/>
  <c r="B12" i="35"/>
  <c r="E21" i="33"/>
  <c r="B21" i="35"/>
  <c r="J20" i="45"/>
  <c r="H14" i="45"/>
  <c r="E32" i="33"/>
  <c r="E23" i="33"/>
  <c r="L20" i="40"/>
  <c r="K19" i="45"/>
  <c r="F6" i="40"/>
  <c r="E18" i="33"/>
  <c r="F12" i="40"/>
  <c r="L10" i="40"/>
  <c r="B6" i="35"/>
  <c r="S8" i="45"/>
  <c r="D18" i="35"/>
  <c r="L19" i="45"/>
  <c r="Z7" i="45"/>
  <c r="L15" i="45"/>
  <c r="H17" i="45"/>
  <c r="I15" i="45"/>
  <c r="L17" i="40"/>
  <c r="Z6" i="45"/>
  <c r="I19" i="29" l="1"/>
  <c r="I20" i="29"/>
  <c r="D38" i="29"/>
  <c r="H18" i="40"/>
  <c r="G11" i="51"/>
  <c r="N17" i="51"/>
  <c r="G14" i="52"/>
  <c r="N9" i="52"/>
  <c r="H11" i="40"/>
  <c r="G15" i="51"/>
  <c r="N19" i="40"/>
  <c r="H7" i="40"/>
  <c r="T7" i="45"/>
  <c r="G11" i="52"/>
  <c r="N15" i="52"/>
  <c r="H7" i="51"/>
  <c r="G16" i="40"/>
  <c r="E23" i="35"/>
  <c r="H21" i="51"/>
  <c r="G7" i="51"/>
  <c r="G8" i="52"/>
  <c r="H17" i="40"/>
  <c r="N7" i="52"/>
  <c r="E18" i="35"/>
  <c r="H8" i="40"/>
  <c r="H8" i="52"/>
  <c r="G18" i="51"/>
  <c r="T4" i="45"/>
  <c r="H10" i="40"/>
  <c r="N10" i="52"/>
  <c r="H22" i="40"/>
  <c r="N11" i="40"/>
  <c r="H14" i="51"/>
  <c r="H6" i="51"/>
  <c r="N7" i="40"/>
  <c r="H8" i="51"/>
  <c r="N17" i="52"/>
  <c r="N18" i="40"/>
  <c r="AA6" i="45"/>
  <c r="H9" i="52"/>
  <c r="G6" i="40"/>
  <c r="E6" i="35"/>
  <c r="H17" i="51"/>
  <c r="G10" i="52"/>
  <c r="G10" i="40"/>
  <c r="H12" i="52"/>
  <c r="H10" i="51"/>
  <c r="N11" i="51"/>
  <c r="E27" i="35"/>
  <c r="E3" i="35"/>
  <c r="G7" i="40"/>
  <c r="H11" i="51"/>
  <c r="E24" i="35"/>
  <c r="E13" i="35"/>
  <c r="N8" i="51"/>
  <c r="E16" i="35"/>
  <c r="N8" i="52"/>
  <c r="N19" i="51"/>
  <c r="G17" i="40"/>
  <c r="H12" i="51"/>
  <c r="G11" i="40"/>
  <c r="N10" i="51"/>
  <c r="G16" i="52"/>
  <c r="G13" i="51"/>
  <c r="E17" i="35"/>
  <c r="N15" i="51"/>
  <c r="G9" i="52"/>
  <c r="N13" i="51"/>
  <c r="G8" i="51"/>
  <c r="G16" i="51"/>
  <c r="N22" i="40"/>
  <c r="N20" i="51"/>
  <c r="G10" i="51"/>
  <c r="G21" i="40"/>
  <c r="N5" i="51"/>
  <c r="N18" i="51"/>
  <c r="G15" i="52"/>
  <c r="G6" i="52"/>
  <c r="G5" i="40"/>
  <c r="E22" i="35"/>
  <c r="N21" i="40"/>
  <c r="E12" i="35"/>
  <c r="U7" i="45"/>
  <c r="G8" i="40"/>
  <c r="H13" i="52"/>
  <c r="N8" i="40"/>
  <c r="H7" i="52"/>
  <c r="E14" i="35"/>
  <c r="G20" i="40"/>
  <c r="N22" i="51"/>
  <c r="N15" i="40"/>
  <c r="N4" i="52"/>
  <c r="AA3" i="45"/>
  <c r="G12" i="40"/>
  <c r="G12" i="52"/>
  <c r="H15" i="40"/>
  <c r="H6" i="40"/>
  <c r="N7" i="51"/>
  <c r="N6" i="52"/>
  <c r="G12" i="51"/>
  <c r="N9" i="51"/>
  <c r="E21" i="35"/>
  <c r="T8" i="45"/>
  <c r="H19" i="40"/>
  <c r="N12" i="51"/>
  <c r="H5" i="52"/>
  <c r="G13" i="40"/>
  <c r="M12" i="45" a="1"/>
  <c r="G22" i="51"/>
  <c r="G15" i="40"/>
  <c r="H16" i="52"/>
  <c r="G9" i="40"/>
  <c r="T5" i="45"/>
  <c r="E26" i="35"/>
  <c r="N4" i="51"/>
  <c r="E7" i="35"/>
  <c r="N16" i="40"/>
  <c r="E8" i="35"/>
  <c r="N13" i="40"/>
  <c r="H16" i="51"/>
  <c r="H13" i="51"/>
  <c r="G22" i="40"/>
  <c r="N21" i="51"/>
  <c r="G17" i="52"/>
  <c r="G5" i="51"/>
  <c r="E20" i="35"/>
  <c r="H21" i="40"/>
  <c r="N5" i="40"/>
  <c r="H17" i="52"/>
  <c r="U4" i="45"/>
  <c r="H4" i="51"/>
  <c r="G14" i="51"/>
  <c r="G20" i="51"/>
  <c r="N14" i="52"/>
  <c r="H12" i="40"/>
  <c r="H4" i="52"/>
  <c r="H11" i="52"/>
  <c r="N4" i="40"/>
  <c r="E9" i="35"/>
  <c r="H20" i="51"/>
  <c r="H10" i="52"/>
  <c r="N10" i="40"/>
  <c r="H5" i="51"/>
  <c r="H14" i="52"/>
  <c r="H5" i="40"/>
  <c r="G13" i="52"/>
  <c r="G9" i="51"/>
  <c r="AA4" i="45"/>
  <c r="H9" i="51"/>
  <c r="N14" i="40"/>
  <c r="H22" i="51"/>
  <c r="H4" i="40"/>
  <c r="E11" i="35"/>
  <c r="H13" i="40"/>
  <c r="E15" i="35"/>
  <c r="G14" i="40"/>
  <c r="H14" i="40"/>
  <c r="G4" i="51"/>
  <c r="G7" i="52"/>
  <c r="G4" i="52"/>
  <c r="U5" i="45"/>
  <c r="N12" i="52"/>
  <c r="AA8" i="45"/>
  <c r="U8" i="45"/>
  <c r="H15" i="51"/>
  <c r="N20" i="40"/>
  <c r="E19" i="35"/>
  <c r="H19" i="51"/>
  <c r="AA5" i="45"/>
  <c r="H20" i="40"/>
  <c r="G19" i="40"/>
  <c r="N9" i="40"/>
  <c r="H15" i="52"/>
  <c r="G5" i="52"/>
  <c r="G17" i="51"/>
  <c r="N16" i="51"/>
  <c r="E25" i="35"/>
  <c r="T6" i="45"/>
  <c r="H18" i="51"/>
  <c r="N5" i="52"/>
  <c r="N13" i="52"/>
  <c r="H9" i="40"/>
  <c r="U6" i="45"/>
  <c r="T3" i="45"/>
  <c r="G6" i="51"/>
  <c r="G18" i="40"/>
  <c r="E4" i="35"/>
  <c r="AA7" i="45"/>
  <c r="G21" i="51"/>
  <c r="E5" i="35"/>
  <c r="N11" i="52"/>
  <c r="N16" i="52"/>
  <c r="N12" i="40"/>
  <c r="G19" i="51"/>
  <c r="N6" i="40"/>
  <c r="N14" i="51"/>
  <c r="H6" i="52"/>
  <c r="N6" i="51"/>
  <c r="N17" i="40"/>
  <c r="E10" i="35"/>
  <c r="H16" i="40"/>
  <c r="G4" i="40"/>
  <c r="V4" i="45" l="1"/>
  <c r="I4" i="40"/>
  <c r="I4" i="52"/>
  <c r="I4" i="51"/>
  <c r="I14" i="51"/>
  <c r="I13" i="51"/>
  <c r="I11" i="40"/>
  <c r="I18" i="51"/>
  <c r="I7" i="52"/>
  <c r="I13" i="40"/>
  <c r="I20" i="51"/>
  <c r="I18" i="40"/>
  <c r="I14" i="40"/>
  <c r="I16" i="52"/>
  <c r="I17" i="40"/>
  <c r="I6" i="51"/>
  <c r="I8" i="40"/>
  <c r="M13" i="45"/>
  <c r="M12" i="45"/>
  <c r="M19" i="45"/>
  <c r="M14" i="45"/>
  <c r="M17" i="45"/>
  <c r="M16" i="45"/>
  <c r="M20" i="45"/>
  <c r="M18" i="45"/>
  <c r="M21" i="45"/>
  <c r="M15" i="45"/>
  <c r="I8" i="52"/>
  <c r="I7" i="51"/>
  <c r="I20" i="40"/>
  <c r="I5" i="51"/>
  <c r="I17" i="52"/>
  <c r="V6" i="45"/>
  <c r="I5" i="40"/>
  <c r="I7" i="40"/>
  <c r="I16" i="40"/>
  <c r="I9" i="51"/>
  <c r="I22" i="40"/>
  <c r="I6" i="52"/>
  <c r="I13" i="52"/>
  <c r="V8" i="45"/>
  <c r="I15" i="52"/>
  <c r="I17" i="51"/>
  <c r="I11" i="52"/>
  <c r="I5" i="52"/>
  <c r="V7" i="45"/>
  <c r="I12" i="51"/>
  <c r="I21" i="40"/>
  <c r="I10" i="51"/>
  <c r="I10" i="40"/>
  <c r="I19" i="40"/>
  <c r="I10" i="52"/>
  <c r="I15" i="51"/>
  <c r="I19" i="51"/>
  <c r="I16" i="51"/>
  <c r="V5" i="45"/>
  <c r="I12" i="52"/>
  <c r="I8" i="51"/>
  <c r="I6" i="40"/>
  <c r="I14" i="52"/>
  <c r="I9" i="40"/>
  <c r="I12" i="40"/>
  <c r="I9" i="52"/>
  <c r="I11" i="51"/>
  <c r="I15" i="40"/>
  <c r="I21" i="51"/>
  <c r="I22" i="51"/>
  <c r="D19" i="29" l="1"/>
  <c r="R6" i="52"/>
  <c r="F16" i="35"/>
  <c r="F12" i="35"/>
  <c r="F6" i="35"/>
  <c r="F7" i="35"/>
  <c r="R8" i="52"/>
  <c r="F9" i="35"/>
  <c r="F27" i="35"/>
  <c r="F24" i="35"/>
  <c r="F3" i="35"/>
  <c r="F23" i="35"/>
  <c r="F25" i="35"/>
  <c r="AE6" i="45"/>
  <c r="F11" i="35"/>
  <c r="AE8" i="45"/>
  <c r="F8" i="35"/>
  <c r="F20" i="35"/>
  <c r="F14" i="35"/>
  <c r="F17" i="35"/>
  <c r="R7" i="52"/>
  <c r="F13" i="35"/>
  <c r="F4" i="35"/>
  <c r="F19" i="35"/>
  <c r="F15" i="35"/>
  <c r="R6" i="51"/>
  <c r="F22" i="35"/>
  <c r="AE9" i="45"/>
  <c r="F26" i="35"/>
  <c r="R6" i="40"/>
  <c r="R9" i="40" s="1"/>
  <c r="R8" i="40"/>
  <c r="F21" i="35"/>
  <c r="F18" i="35"/>
  <c r="R7" i="40"/>
  <c r="F10" i="35"/>
  <c r="R9" i="52"/>
  <c r="R10" i="52"/>
  <c r="R10" i="40"/>
  <c r="F5" i="35"/>
  <c r="AE10" i="45"/>
  <c r="AE7" i="45"/>
  <c r="R7" i="51"/>
  <c r="R10" i="51"/>
  <c r="R8" i="51"/>
  <c r="R9" i="51"/>
  <c r="G5" i="35" l="1"/>
  <c r="H42" i="33" s="1"/>
  <c r="G10" i="35"/>
  <c r="H47" i="33" s="1"/>
  <c r="G18" i="35"/>
  <c r="H54" i="33" s="1"/>
  <c r="G21" i="35"/>
  <c r="H57" i="33" s="1"/>
  <c r="G26" i="35"/>
  <c r="H62" i="33" s="1"/>
  <c r="G22" i="35"/>
  <c r="H58" i="33" s="1"/>
  <c r="G15" i="35"/>
  <c r="G19" i="35"/>
  <c r="H55" i="33" s="1"/>
  <c r="G4" i="35"/>
  <c r="H41" i="33" s="1"/>
  <c r="G13" i="35"/>
  <c r="H50" i="33" s="1"/>
  <c r="G17" i="35"/>
  <c r="H53" i="33" s="1"/>
  <c r="G14" i="35"/>
  <c r="H51" i="33" s="1"/>
  <c r="G20" i="35"/>
  <c r="H56" i="33" s="1"/>
  <c r="G8" i="35"/>
  <c r="H45" i="33" s="1"/>
  <c r="G11" i="35"/>
  <c r="H48" i="33" s="1"/>
  <c r="G25" i="35"/>
  <c r="H61" i="33" s="1"/>
  <c r="G23" i="35"/>
  <c r="H59" i="33" s="1"/>
  <c r="G3" i="35"/>
  <c r="G24" i="35"/>
  <c r="H60" i="33" s="1"/>
  <c r="G27" i="35"/>
  <c r="H63" i="33" s="1"/>
  <c r="G9" i="35"/>
  <c r="H46" i="33" s="1"/>
  <c r="G7" i="35"/>
  <c r="H44" i="33" s="1"/>
  <c r="G6" i="35"/>
  <c r="H43" i="33" s="1"/>
  <c r="G12" i="35"/>
  <c r="H49" i="33" s="1"/>
  <c r="G16" i="35"/>
  <c r="H52" i="33" s="1"/>
  <c r="R13" i="51" a="1"/>
  <c r="M58" i="33"/>
  <c r="M56" i="33"/>
  <c r="M46" i="33"/>
  <c r="M55" i="33"/>
  <c r="M48" i="33"/>
  <c r="M47" i="33"/>
  <c r="M61" i="33"/>
  <c r="R13" i="40" a="1"/>
  <c r="M59" i="33"/>
  <c r="M54" i="33"/>
  <c r="M57" i="33"/>
  <c r="M60" i="33"/>
  <c r="M51" i="33"/>
  <c r="AE13" i="45" a="1"/>
  <c r="M45" i="33"/>
  <c r="M44" i="33"/>
  <c r="M42" i="33"/>
  <c r="M43" i="33"/>
  <c r="M41" i="33"/>
  <c r="M49" i="33"/>
  <c r="M50" i="33"/>
  <c r="M52" i="33"/>
  <c r="R13" i="52" a="1"/>
  <c r="M53" i="33"/>
  <c r="M62" i="33"/>
  <c r="M63" i="33"/>
  <c r="R13" i="52" l="1"/>
  <c r="R14" i="52"/>
  <c r="R15" i="52"/>
  <c r="R16" i="52"/>
  <c r="R17" i="52"/>
  <c r="AE16" i="45"/>
  <c r="AE17" i="45"/>
  <c r="AE13" i="45"/>
  <c r="AE14" i="45"/>
  <c r="AE15" i="45"/>
  <c r="R14" i="40"/>
  <c r="R15" i="40"/>
  <c r="R16" i="40"/>
  <c r="R17" i="40"/>
  <c r="R13" i="40"/>
  <c r="R13" i="51"/>
  <c r="R14" i="51"/>
  <c r="R15" i="51"/>
  <c r="R16" i="51"/>
  <c r="R17" i="51"/>
  <c r="R18" i="40" l="1"/>
  <c r="J16" i="40"/>
  <c r="M16" i="40"/>
  <c r="K16" i="40"/>
  <c r="J7" i="40"/>
  <c r="M7" i="40"/>
  <c r="K7" i="40"/>
  <c r="J3" i="40"/>
  <c r="G3" i="40"/>
  <c r="AE18" i="45"/>
  <c r="V11" i="45"/>
  <c r="H3" i="33"/>
  <c r="M3" i="33"/>
  <c r="W8" i="45"/>
  <c r="Y8" i="45"/>
  <c r="X8" i="45"/>
  <c r="J19" i="40"/>
  <c r="M19" i="40"/>
  <c r="K19" i="40" s="1"/>
  <c r="R18" i="52"/>
  <c r="J10" i="52"/>
  <c r="L10" i="52"/>
  <c r="K10" i="52"/>
  <c r="I20" i="52"/>
  <c r="H25" i="33"/>
  <c r="M25" i="33"/>
  <c r="J3" i="52"/>
  <c r="G3" i="52"/>
  <c r="J8" i="52"/>
  <c r="L8" i="52"/>
  <c r="K8" i="52"/>
  <c r="J14" i="52"/>
  <c r="L14" i="52"/>
  <c r="K14" i="52"/>
  <c r="I31" i="52"/>
  <c r="H36" i="33"/>
  <c r="M36" i="33"/>
  <c r="I29" i="52"/>
  <c r="H34" i="33"/>
  <c r="M34" i="33"/>
  <c r="I26" i="52"/>
  <c r="H31" i="33"/>
  <c r="M31" i="33"/>
  <c r="I34" i="52"/>
  <c r="H39" i="33"/>
  <c r="M39" i="33"/>
  <c r="J8" i="40"/>
  <c r="M8" i="40"/>
  <c r="K8" i="40"/>
  <c r="I32" i="40"/>
  <c r="H22" i="33"/>
  <c r="M22" i="33"/>
  <c r="J9" i="40"/>
  <c r="M9" i="40"/>
  <c r="K9" i="40"/>
  <c r="I30" i="40"/>
  <c r="H20" i="33"/>
  <c r="M20" i="33"/>
  <c r="J11" i="52"/>
  <c r="L11" i="52"/>
  <c r="K11" i="52"/>
  <c r="I25" i="40"/>
  <c r="H15" i="33"/>
  <c r="M15" i="33"/>
  <c r="I26" i="40"/>
  <c r="H16" i="33"/>
  <c r="M16" i="33"/>
  <c r="I27" i="40"/>
  <c r="H17" i="33"/>
  <c r="M17" i="33"/>
  <c r="I28" i="40"/>
  <c r="H18" i="33"/>
  <c r="M18" i="33"/>
  <c r="I29" i="40"/>
  <c r="H19" i="33"/>
  <c r="M19" i="33"/>
  <c r="I31" i="40"/>
  <c r="H21" i="33"/>
  <c r="M21" i="33"/>
  <c r="I33" i="40"/>
  <c r="H23" i="33"/>
  <c r="M23" i="33"/>
  <c r="I34" i="40"/>
  <c r="H24" i="33"/>
  <c r="M24" i="33"/>
  <c r="N15" i="33"/>
  <c r="J11" i="40"/>
  <c r="M11" i="40"/>
  <c r="K11" i="40"/>
  <c r="V12" i="45"/>
  <c r="H4" i="33"/>
  <c r="M4" i="33"/>
  <c r="J13" i="40"/>
  <c r="M13" i="40"/>
  <c r="K13" i="40"/>
  <c r="V13" i="45"/>
  <c r="H5" i="33"/>
  <c r="M5" i="33"/>
  <c r="V14" i="45"/>
  <c r="H6" i="33"/>
  <c r="M6" i="33"/>
  <c r="V15" i="45"/>
  <c r="H7" i="33"/>
  <c r="M7" i="33"/>
  <c r="N2" i="33"/>
  <c r="J6" i="52"/>
  <c r="L6" i="52"/>
  <c r="K6" i="52"/>
  <c r="J5" i="40"/>
  <c r="M5" i="40"/>
  <c r="K5" i="40"/>
  <c r="J5" i="52"/>
  <c r="L5" i="52"/>
  <c r="K5" i="52"/>
  <c r="J17" i="52"/>
  <c r="L17" i="52"/>
  <c r="K17" i="52"/>
  <c r="I22" i="52"/>
  <c r="H27" i="33"/>
  <c r="M27" i="33"/>
  <c r="I27" i="52"/>
  <c r="H32" i="33"/>
  <c r="M32" i="33"/>
  <c r="J18" i="40"/>
  <c r="M18" i="40"/>
  <c r="K18" i="40"/>
  <c r="W7" i="45"/>
  <c r="Y7" i="45"/>
  <c r="X7" i="45"/>
  <c r="I24" i="52"/>
  <c r="H29" i="33"/>
  <c r="M29" i="33"/>
  <c r="I32" i="52"/>
  <c r="H37" i="33"/>
  <c r="M37" i="33"/>
  <c r="J12" i="52"/>
  <c r="L12" i="52"/>
  <c r="K12" i="52"/>
  <c r="J9" i="52"/>
  <c r="L9" i="52"/>
  <c r="K9" i="52"/>
  <c r="J7" i="52"/>
  <c r="L7" i="52"/>
  <c r="K7" i="52"/>
  <c r="J16" i="52"/>
  <c r="L16" i="52"/>
  <c r="K16" i="52"/>
  <c r="R18" i="51"/>
  <c r="J11" i="51"/>
  <c r="M11" i="51"/>
  <c r="K11" i="51" s="1"/>
  <c r="I31" i="51"/>
  <c r="H14" i="33"/>
  <c r="L14" i="33" s="1"/>
  <c r="M14" i="33"/>
  <c r="J6" i="51"/>
  <c r="M6" i="51"/>
  <c r="K6" i="51" s="1"/>
  <c r="J13" i="51"/>
  <c r="M13" i="51"/>
  <c r="K13" i="51" s="1"/>
  <c r="J9" i="51"/>
  <c r="M9" i="51"/>
  <c r="K9" i="51" s="1"/>
  <c r="J10" i="51"/>
  <c r="M10" i="51"/>
  <c r="K10" i="51" s="1"/>
  <c r="J4" i="51"/>
  <c r="M4" i="51"/>
  <c r="K4" i="51" s="1"/>
  <c r="J18" i="51"/>
  <c r="M18" i="51"/>
  <c r="K18" i="51" s="1"/>
  <c r="J20" i="51"/>
  <c r="M20" i="51"/>
  <c r="K20" i="51"/>
  <c r="J14" i="51"/>
  <c r="M14" i="51"/>
  <c r="K14" i="51" s="1"/>
  <c r="I25" i="51"/>
  <c r="H8" i="33"/>
  <c r="L8" i="33" s="1"/>
  <c r="M8" i="33"/>
  <c r="J16" i="51"/>
  <c r="M16" i="51"/>
  <c r="K16" i="51" s="1"/>
  <c r="J22" i="51"/>
  <c r="M22" i="51"/>
  <c r="K22" i="51" s="1"/>
  <c r="J21" i="51"/>
  <c r="M21" i="51"/>
  <c r="K21" i="51" s="1"/>
  <c r="J3" i="51"/>
  <c r="G3" i="51"/>
  <c r="J8" i="51"/>
  <c r="M8" i="51"/>
  <c r="K8" i="51" s="1"/>
  <c r="J12" i="51"/>
  <c r="M12" i="51"/>
  <c r="K12" i="51" s="1"/>
  <c r="I30" i="51"/>
  <c r="H13" i="33"/>
  <c r="L13" i="33" s="1"/>
  <c r="M13" i="33"/>
  <c r="I26" i="51"/>
  <c r="H9" i="33"/>
  <c r="L9" i="33" s="1"/>
  <c r="M9" i="33"/>
  <c r="I27" i="51"/>
  <c r="H10" i="33"/>
  <c r="L10" i="33" s="1"/>
  <c r="M10" i="33"/>
  <c r="I28" i="51"/>
  <c r="H11" i="33"/>
  <c r="L11" i="33" s="1"/>
  <c r="M11" i="33"/>
  <c r="I29" i="51"/>
  <c r="H12" i="33"/>
  <c r="L12" i="33" s="1"/>
  <c r="M12" i="33"/>
  <c r="N8" i="33"/>
  <c r="I28" i="52"/>
  <c r="H33" i="33"/>
  <c r="M33" i="33"/>
  <c r="J15" i="52"/>
  <c r="L15" i="52"/>
  <c r="K15" i="52"/>
  <c r="J5" i="51"/>
  <c r="M5" i="51"/>
  <c r="K5" i="51" s="1"/>
  <c r="J12" i="40"/>
  <c r="M12" i="40"/>
  <c r="K12" i="40"/>
  <c r="I33" i="52"/>
  <c r="H38" i="33"/>
  <c r="M38" i="33"/>
  <c r="J13" i="52"/>
  <c r="L13" i="52"/>
  <c r="K13" i="52" s="1"/>
  <c r="W6" i="45"/>
  <c r="Y6" i="45"/>
  <c r="X6" i="45"/>
  <c r="J22" i="40"/>
  <c r="M22" i="40"/>
  <c r="K22" i="40"/>
  <c r="J17" i="51"/>
  <c r="M17" i="51"/>
  <c r="K17" i="51" s="1"/>
  <c r="I25" i="52"/>
  <c r="H30" i="33"/>
  <c r="M30" i="33"/>
  <c r="J14" i="40"/>
  <c r="M14" i="40"/>
  <c r="K14" i="40"/>
  <c r="J6" i="40"/>
  <c r="M6" i="40"/>
  <c r="K6" i="40"/>
  <c r="J21" i="40"/>
  <c r="M21" i="40"/>
  <c r="K21" i="40"/>
  <c r="J4" i="52"/>
  <c r="L4" i="52"/>
  <c r="K4" i="52"/>
  <c r="J15" i="40"/>
  <c r="M15" i="40"/>
  <c r="K15" i="40"/>
  <c r="I35" i="52"/>
  <c r="H40" i="33"/>
  <c r="M40" i="33"/>
  <c r="W3" i="45"/>
  <c r="J19" i="51"/>
  <c r="M19" i="51"/>
  <c r="K19" i="51" s="1"/>
  <c r="W4" i="45"/>
  <c r="Y4" i="45"/>
  <c r="X4" i="45"/>
  <c r="J7" i="51"/>
  <c r="M7" i="51"/>
  <c r="K7" i="51" s="1"/>
  <c r="I30" i="52"/>
  <c r="H35" i="33"/>
  <c r="M35" i="33"/>
  <c r="J20" i="40"/>
  <c r="M20" i="40"/>
  <c r="K20" i="40"/>
  <c r="N41" i="33"/>
  <c r="I23" i="52"/>
  <c r="H28" i="33"/>
  <c r="M28" i="33"/>
  <c r="I21" i="52"/>
  <c r="H26" i="33"/>
  <c r="M26" i="33"/>
  <c r="J10" i="40"/>
  <c r="M10" i="40"/>
  <c r="K10" i="40"/>
  <c r="W5" i="45"/>
  <c r="Y5" i="45"/>
  <c r="X5" i="45"/>
  <c r="J17" i="40"/>
  <c r="M17" i="40"/>
  <c r="K17" i="40"/>
  <c r="J4" i="40"/>
  <c r="M4" i="40"/>
  <c r="K4" i="40"/>
  <c r="J15" i="51"/>
  <c r="M15" i="51"/>
  <c r="K15" i="51" s="1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<sst xmlns="http://schemas.openxmlformats.org/spreadsheetml/2006/main" count="406" uniqueCount="139">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</sst>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2/XLS/EUR/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N5</v>
          </cell>
        </row>
        <row r="7">
          <cell r="D7" t="str">
            <v>Q5</v>
          </cell>
        </row>
      </sheetData>
      <sheetData sheetId="10">
        <row r="6">
          <cell r="D6" t="str">
            <v>Future Code</v>
          </cell>
        </row>
        <row r="7">
          <cell r="D7" t="str">
            <v>N5</v>
          </cell>
        </row>
      </sheetData>
      <sheetData sheetId="11">
        <row r="6">
          <cell r="D6" t="str">
            <v>N5</v>
          </cell>
        </row>
        <row r="7">
          <cell r="D7" t="str">
            <v>Q5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str">
            <v>M6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42184</v>
          </cell>
        </row>
        <row r="7">
          <cell r="D7">
            <v>42181</v>
          </cell>
        </row>
      </sheetData>
      <sheetData sheetId="29">
        <row r="6">
          <cell r="D6">
            <v>42184</v>
          </cell>
        </row>
        <row r="7">
          <cell r="D7">
            <v>42181</v>
          </cell>
        </row>
      </sheetData>
      <sheetData sheetId="30">
        <row r="6">
          <cell r="D6">
            <v>42185</v>
          </cell>
        </row>
        <row r="7">
          <cell r="D7">
            <v>42184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Jun 25 2015 17:04:19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42121.73238425926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0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42187</v>
      </c>
      <c r="E17" s="212"/>
      <c r="G17" s="225"/>
      <c r="H17" s="2" t="s">
        <v>21</v>
      </c>
      <c r="I17" s="233">
        <v>42185.729953703703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42185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obj_005d9#0000</v>
      </c>
      <c r="E19" s="212"/>
      <c r="G19" s="225"/>
      <c r="H19" s="2" t="s">
        <v>23</v>
      </c>
      <c r="I19" s="34">
        <f>[1]!TriggerCounter</f>
        <v>1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0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obj_005d8#0000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obj_005d7#0000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42187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42402</v>
      </c>
      <c r="D38" s="38">
        <f>_xll.qlYieldTSDiscount(D34,C38,,Trigger)</f>
        <v>1.0003704731969099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obj_00592#0000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obj_005b9#0000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42187</v>
      </c>
      <c r="S3" s="331">
        <f>_xll.qlInterestRateIndexMaturity(iborindex1M,R3,Trigger)</f>
        <v>42219</v>
      </c>
      <c r="T3" s="62">
        <f>_xll.qlIndexFixing(iborindex1M,_xll.qlInterestRateIndexFixingDate(iborindex1M,R3,Trigger),TRUE,AllTriggers)</f>
        <v>-6.3999999999994617E-4</v>
      </c>
      <c r="U3" s="239"/>
      <c r="V3" s="239"/>
      <c r="W3" s="190">
        <f>_xll.qlTenorBasisValue(TenorBasis1M,R3,Trigger)</f>
        <v>5.709701278677759E-4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1.0000061111391205</v>
      </c>
      <c r="AB3" s="257"/>
      <c r="AD3" s="277" t="s">
        <v>135</v>
      </c>
      <c r="AE3" s="190" t="str">
        <f>_xll.qlIborIndex(,,S1,2,Currency,Calendar,"mf",TRUE,DayCounter,Discounting,,Trigger)</f>
        <v>obj_0058e#0000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obj_00593#0000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42187</v>
      </c>
      <c r="S4" s="294">
        <f>_xll.qlInterestRateIndexMaturity(iborindex1M,R4,Trigger)</f>
        <v>42219</v>
      </c>
      <c r="T4" s="190">
        <f>_xll.qlQuoteValue(Q4,LastFixingsTrigger)</f>
        <v>-6.4000000000000005E-4</v>
      </c>
      <c r="U4" s="190">
        <f>_xll.qlIndexFixing(ON_1M_index,_xll.qlInterestRateIndexFixingDate(ON_1M_index,R4),,AllTriggers)</f>
        <v>-1.2109701278677221E-3</v>
      </c>
      <c r="V4" s="258">
        <f>T4-U4</f>
        <v>5.7097012786772202E-4</v>
      </c>
      <c r="W4" s="186">
        <f>_xll.qlTenorBasisValue(TenorBasis1M,R4,Trigger)</f>
        <v>5.709701278677759E-4</v>
      </c>
      <c r="X4" s="187">
        <f>Y4*10000</f>
        <v>-5.388484797252957E-13</v>
      </c>
      <c r="Y4" s="278">
        <f>V4-W4</f>
        <v>-5.388484797252957E-17</v>
      </c>
      <c r="Z4" s="284">
        <f>_xll.qlDayCounterYearFraction("actual/365 (fixed)",SettlementDate,R4,,,Trigger)</f>
        <v>0</v>
      </c>
      <c r="AA4" s="336">
        <f>_xll.qlYieldTSDiscount(Discounting,R4,,AllTriggers)</f>
        <v>1.0000061111391205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obj_00597#0000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42187</v>
      </c>
      <c r="S5" s="331">
        <f>_xll.qlInterestRateIndexMaturity(iborindex1M,R5,Trigger)</f>
        <v>42219</v>
      </c>
      <c r="T5" s="62">
        <f>_xll.qlIndexFixing(iborindex1M,_xll.qlInterestRateIndexFixingDate(iborindex1M,R5,Trigger),TRUE,AllTriggers)</f>
        <v>-6.3999999999994617E-4</v>
      </c>
      <c r="U5" s="62">
        <f>_xll.qlIndexFixing(ON_1M_index,_xll.qlInterestRateIndexFixingDate(ON_1M_index,R5),,AllTriggers)</f>
        <v>-1.2109701278677221E-3</v>
      </c>
      <c r="V5" s="265">
        <f>T5-U5</f>
        <v>5.709701278677759E-4</v>
      </c>
      <c r="W5" s="67">
        <f>_xll.qlTenorBasisValue(TenorBasis1M,R5,Trigger)</f>
        <v>5.709701278677759E-4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1.0000061111391205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obj_00594#0000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42219</v>
      </c>
      <c r="S6" s="331">
        <f>_xll.qlInterestRateIndexMaturity(iborindex1M,R6,Trigger)</f>
        <v>42250</v>
      </c>
      <c r="T6" s="62">
        <f>_xll.qlIndexFixing(iborindex1M,_xll.qlInterestRateIndexFixingDate(iborindex1M,R6,Trigger),TRUE,AllTriggers)</f>
        <v>-6.3808993886113521E-4</v>
      </c>
      <c r="U6" s="62">
        <f>_xll.qlIndexFixing(ON_1M_index,_xll.qlInterestRateIndexFixingDate(ON_1M_index,R6),,AllTriggers)</f>
        <v>-1.1768705847486724E-3</v>
      </c>
      <c r="V6" s="265">
        <f>T6-U6</f>
        <v>5.3878064588753724E-4</v>
      </c>
      <c r="W6" s="62">
        <f>_xll.qlTenorBasisValue(TenorBasis1M,R6,Trigger)</f>
        <v>5.3878064588753724E-4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8.7671232876712329E-2</v>
      </c>
      <c r="AA6" s="59">
        <f>_xll.qlYieldTSDiscount(Discounting,R6,,AllTriggers)</f>
        <v>1.0001137651741512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obj_005db#0000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obj_00595#0000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42249</v>
      </c>
      <c r="S7" s="331">
        <f>_xll.qlInterestRateIndexMaturity(iborindex1M,R7,Trigger)</f>
        <v>42279</v>
      </c>
      <c r="T7" s="62">
        <f>_xll.qlIndexFixing(iborindex1M,_xll.qlInterestRateIndexFixingDate(iborindex1M,R7,Trigger),TRUE,AllTriggers)</f>
        <v>-5.7879900278745566E-4</v>
      </c>
      <c r="U7" s="62">
        <f>_xll.qlIndexFixing(ON_1M_index,_xll.qlInterestRateIndexFixingDate(ON_1M_index,R7),,AllTriggers)</f>
        <v>-1.2006478193100634E-3</v>
      </c>
      <c r="V7" s="265">
        <f>T7-U7</f>
        <v>6.2184881652260771E-4</v>
      </c>
      <c r="W7" s="62">
        <f>_xll.qlTenorBasisValue(TenorBasis1M,R7,Trigger)</f>
        <v>6.2184881652260738E-4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1.0002117586394066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obj_00596#0000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42279</v>
      </c>
      <c r="S8" s="332">
        <f>_xll.qlInterestRateIndexMaturity(iborindex1M,R8,Trigger)</f>
        <v>42310</v>
      </c>
      <c r="T8" s="65">
        <f>_xll.qlIndexFixing(iborindex1M,_xll.qlInterestRateIndexFixingDate(iborindex1M,R8,Trigger),TRUE,AllTriggers)</f>
        <v>-5.408058357910555E-4</v>
      </c>
      <c r="U8" s="65">
        <f>_xll.qlIndexFixing(ON_1M_index,_xll.qlInterestRateIndexFixingDate(ON_1M_index,R8),,AllTriggers)</f>
        <v>-1.0140487778804862E-3</v>
      </c>
      <c r="V8" s="260">
        <f>T8-U8</f>
        <v>4.7324294208943068E-4</v>
      </c>
      <c r="W8" s="65">
        <f>_xll.qlTenorBasisValue(TenorBasis1M,R8,Trigger)</f>
        <v>4.7324294208943036E-4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1.0003118438255665</v>
      </c>
      <c r="AB8" s="238" t="b">
        <v>1</v>
      </c>
      <c r="AD8" s="277" t="s">
        <v>128</v>
      </c>
      <c r="AE8" s="282" t="str">
        <f>_xll.qlPolynomialCalibrationEndCriteria(AE6,)</f>
        <v>None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obj_00598#0000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1.0103812145713598E-4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1.5268413966103517E-4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42187</v>
      </c>
      <c r="U11" s="269">
        <f>_xll.qlCalendarAdvance(Calendar,SettlementDate,S11,"Following",,Trigger)</f>
        <v>42188</v>
      </c>
      <c r="V11" s="287">
        <f>_xll.qlTenorBasisForwardRate2(TenorBasis1M,T11,U11,AllTriggers)</f>
        <v>-4.9809020803870396E-4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42187</v>
      </c>
      <c r="U12" s="271">
        <f>_xll.qlCalendarAdvance(Calendar,SettlementDate,S12,"Following",,Trigger)</f>
        <v>42194</v>
      </c>
      <c r="V12" s="288">
        <f>_xll.qlTenorBasisForwardRate2(TenorBasis1M,T12,U12,AllTriggers)</f>
        <v>-5.4115096447355474E-4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obj_005b9#0000</v>
      </c>
      <c r="H13" s="193" t="str">
        <f>_xll.qlRateHelperQuoteName(G13,Trigger)</f>
        <v>Euribor1MLastFixing_Quote</v>
      </c>
      <c r="I13" s="194">
        <f>_xll.qlRateHelperRate(G13,Trigger)</f>
        <v>-6.4000000000000005E-4</v>
      </c>
      <c r="J13" s="195" t="str">
        <f>IFERROR(_xll.qlSwapRateHelperSpread(G13),"--")</f>
        <v>--</v>
      </c>
      <c r="K13" s="329">
        <f>_xll.qlRateHelperEarliestDate(G13,Trigger)</f>
        <v>42187</v>
      </c>
      <c r="L13" s="329">
        <f>_xll.qlRateHelperLatestDate(G13,Trigger)</f>
        <v>42219</v>
      </c>
      <c r="M13" s="196">
        <v>1.0000568921254187</v>
      </c>
      <c r="S13" s="63" t="s">
        <v>40</v>
      </c>
      <c r="T13" s="270">
        <f>_xll.qlCalendarAdvance(Calendar,SettlementDate,0&amp;"M","mf",TRUE,Trigger)</f>
        <v>42187</v>
      </c>
      <c r="U13" s="271">
        <f>_xll.qlCalendarAdvance(Calendar,SettlementDate,S13,"Following",,Trigger)</f>
        <v>42201</v>
      </c>
      <c r="V13" s="288">
        <f>_xll.qlTenorBasisForwardRate2(TenorBasis1M,T13,U13,AllTriggers)</f>
        <v>-5.8180166924159948E-4</v>
      </c>
      <c r="AD13" s="277" t="s">
        <v>113</v>
      </c>
      <c r="AE13" s="190">
        <f t="array" ref="AE13:AE17">_xll.qlPolynomialCalibrationCoefficients($AE$6,AE7)</f>
        <v>5.709701278677759E-4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obj_00593#0000</v>
      </c>
      <c r="H14" s="193" t="str">
        <f>_xll.qlRateHelperQuoteName(G14,Trigger)</f>
        <v>EUR2X1S_Quote</v>
      </c>
      <c r="I14" s="194">
        <f>_xll.qlRateHelperRate(G14,Trigger)</f>
        <v>-6.4000000000000005E-4</v>
      </c>
      <c r="J14" s="195">
        <f>IFERROR(_xll.qlSwapRateHelperSpread(G14),"--")</f>
        <v>0</v>
      </c>
      <c r="K14" s="329">
        <f>_xll.qlRateHelperEarliestDate(G14,Trigger)</f>
        <v>42187</v>
      </c>
      <c r="L14" s="329">
        <f>_xll.qlRateHelperLatestDate(G14,Trigger)</f>
        <v>42249</v>
      </c>
      <c r="M14" s="196">
        <v>1.0001102369122277</v>
      </c>
      <c r="S14" s="63" t="s">
        <v>41</v>
      </c>
      <c r="T14" s="270">
        <f>_xll.qlCalendarAdvance(Calendar,SettlementDate,0&amp;"M","mf",TRUE,Trigger)</f>
        <v>42187</v>
      </c>
      <c r="U14" s="271">
        <f>_xll.qlCalendarAdvance(Calendar,SettlementDate,S14,"Following",,Trigger)</f>
        <v>42208</v>
      </c>
      <c r="V14" s="288">
        <f>_xll.qlTenorBasisForwardRate2(TenorBasis1M,T14,U14,AllTriggers)</f>
        <v>-6.1310894435300564E-4</v>
      </c>
      <c r="AD14" s="277" t="s">
        <v>114</v>
      </c>
      <c r="AE14" s="190">
        <v>-2.5706376835462675E-3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obj_00597#0000</v>
      </c>
      <c r="H15" s="193" t="str">
        <f>_xll.qlRateHelperQuoteName(G15,Trigger)</f>
        <v>EUR3X1S_Quote</v>
      </c>
      <c r="I15" s="194">
        <f>_xll.qlRateHelperRate(G15,Trigger)</f>
        <v>-6.2E-4</v>
      </c>
      <c r="J15" s="195">
        <f>IFERROR(_xll.qlSwapRateHelperSpread(G15),"--")</f>
        <v>0</v>
      </c>
      <c r="K15" s="329">
        <f>_xll.qlRateHelperEarliestDate(G15,Trigger)</f>
        <v>42187</v>
      </c>
      <c r="L15" s="329">
        <f>_xll.qlRateHelperLatestDate(G15,Trigger)</f>
        <v>42279</v>
      </c>
      <c r="M15" s="196">
        <v>1.0001584778063597</v>
      </c>
      <c r="S15" s="267" t="s">
        <v>35</v>
      </c>
      <c r="T15" s="276">
        <f>_xll.qlCalendarAdvance(Calendar,SettlementDate,0&amp;"M","mf",TRUE,Trigger)</f>
        <v>42187</v>
      </c>
      <c r="U15" s="337">
        <f>_xll.qlCalendarAdvance(Calendar,SettlementDate,S15,"mf",TRUE,Trigger)</f>
        <v>42219</v>
      </c>
      <c r="V15" s="338">
        <f>_xll.qlTenorBasisForwardRate2(TenorBasis1M,T15,U15,AllTriggers)</f>
        <v>-6.4691462326391114E-4</v>
      </c>
      <c r="AD15" s="277" t="s">
        <v>115</v>
      </c>
      <c r="AE15" s="190">
        <v>3.3918961135257525E-2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obj_00594#0000</v>
      </c>
      <c r="H16" s="193" t="str">
        <f>_xll.qlRateHelperQuoteName(G16,Trigger)</f>
        <v>EUR4X1S_Quote</v>
      </c>
      <c r="I16" s="194">
        <f>_xll.qlRateHelperRate(G16,Trigger)</f>
        <v>-5.9999999999999995E-4</v>
      </c>
      <c r="J16" s="195">
        <f>IFERROR(_xll.qlSwapRateHelperSpread(G16),"--")</f>
        <v>0</v>
      </c>
      <c r="K16" s="329">
        <f>_xll.qlRateHelperEarliestDate(G16,Trigger)</f>
        <v>42187</v>
      </c>
      <c r="L16" s="329">
        <f>_xll.qlRateHelperLatestDate(G16,Trigger)</f>
        <v>42310</v>
      </c>
      <c r="M16" s="196">
        <v>1.000205056747143</v>
      </c>
      <c r="AD16" s="277" t="s">
        <v>116</v>
      </c>
      <c r="AE16" s="190">
        <v>-0.10021027543205942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obj_00595#0000</v>
      </c>
      <c r="H17" s="193" t="str">
        <f>_xll.qlRateHelperQuoteName(G17,Trigger)</f>
        <v>EUR5X1S_Quote</v>
      </c>
      <c r="I17" s="194">
        <f>_xll.qlRateHelperRate(G17,Trigger)</f>
        <v>-6.2E-4</v>
      </c>
      <c r="J17" s="195">
        <f>IFERROR(_xll.qlSwapRateHelperSpread(G17),"--")</f>
        <v>0</v>
      </c>
      <c r="K17" s="329">
        <f>_xll.qlRateHelperEarliestDate(G17,Trigger)</f>
        <v>42187</v>
      </c>
      <c r="L17" s="329">
        <f>_xll.qlRateHelperLatestDate(G17,Trigger)</f>
        <v>42340</v>
      </c>
      <c r="M17" s="196">
        <v>1.000263596979053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obj_00596#0000</v>
      </c>
      <c r="H18" s="193" t="str">
        <f>_xll.qlRateHelperQuoteName(G18,Trigger)</f>
        <v>EUR6X1S_Quote</v>
      </c>
      <c r="I18" s="194">
        <f>_xll.qlRateHelperRate(G18,Trigger)</f>
        <v>-5.8E-4</v>
      </c>
      <c r="J18" s="195">
        <f>IFERROR(_xll.qlSwapRateHelperSpread(G18),"--")</f>
        <v>0</v>
      </c>
      <c r="K18" s="329">
        <f>_xll.qlRateHelperEarliestDate(G18,Trigger)</f>
        <v>42187</v>
      </c>
      <c r="L18" s="329">
        <f>_xll.qlRateHelperLatestDate(G18,Trigger)</f>
        <v>42373</v>
      </c>
      <c r="M18" s="196">
        <v>1.00029980595149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obj_005df#0000</v>
      </c>
      <c r="AF18" s="54"/>
      <c r="AG18" s="55"/>
    </row>
    <row r="19" spans="4:33" ht="11.25" customHeight="1" x14ac:dyDescent="0.2">
      <c r="G19" s="202" t="str">
        <v>obj_00598#0000</v>
      </c>
      <c r="H19" s="193" t="str">
        <f>_xll.qlRateHelperQuoteName(G19,Trigger)</f>
        <v>EUR7X1S_Quote</v>
      </c>
      <c r="I19" s="194">
        <f>_xll.qlRateHelperRate(G19,Trigger)</f>
        <v>-6.2E-4</v>
      </c>
      <c r="J19" s="195">
        <f>IFERROR(_xll.qlSwapRateHelperSpread(G19),"--")</f>
        <v>0</v>
      </c>
      <c r="K19" s="329">
        <f>_xll.qlRateHelperEarliestDate(G19,Trigger)</f>
        <v>42187</v>
      </c>
      <c r="L19" s="329">
        <f>_xll.qlRateHelperLatestDate(G19,Trigger)</f>
        <v>42402</v>
      </c>
      <c r="M19" s="196">
        <v>1.0003704731969099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42187</v>
      </c>
      <c r="F3" s="294">
        <f>_xll.qlInterestRateIndexMaturity(PROPER(Currency)&amp;"ibor"&amp;$F$1,E3)</f>
        <v>42279</v>
      </c>
      <c r="G3" s="258">
        <f>J3+$H$4</f>
        <v>-1.2301909660850682E-4</v>
      </c>
      <c r="H3" s="239"/>
      <c r="I3" s="239"/>
      <c r="J3" s="190">
        <f>_xll.qlTenorBasisValue($R$18,E3,Trigger)</f>
        <v>1.0729532415909369E-3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obj_0058f#0000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42187</v>
      </c>
      <c r="F4" s="294">
        <f>_xll.qlInterestRateIndexMaturity(ON_6M_index,E4)</f>
        <v>42373</v>
      </c>
      <c r="G4" s="190">
        <f>_xll.qlQuoteValue(D4,LastFixingsTrigger)</f>
        <v>-1.3999999999999999E-4</v>
      </c>
      <c r="H4" s="190">
        <f>_xll.qlIndexFixing(ON_3M_index,_xll.qlInterestRateIndexFixingDate(ON_3M_index,E4),,AllTriggers)</f>
        <v>-1.1959723381994437E-3</v>
      </c>
      <c r="I4" s="258">
        <f t="shared" ref="I4:I22" si="0">G4-H4</f>
        <v>1.0559723381994438E-3</v>
      </c>
      <c r="J4" s="186">
        <f>_xll.qlTenorBasisValue($R$18,E4,Trigger)</f>
        <v>1.0729532415909369E-3</v>
      </c>
      <c r="K4" s="187">
        <f>M4*10000</f>
        <v>-0.16980903391493113</v>
      </c>
      <c r="L4" s="284">
        <f>_xll.qlDayCounterYearFraction("actual/365 (fixed)",SettlementDate,E4,,,Trigger)</f>
        <v>0</v>
      </c>
      <c r="M4" s="278">
        <f t="shared" ref="M4:M22" si="1">I4-J4</f>
        <v>-1.6980903391493113E-5</v>
      </c>
      <c r="N4" s="281">
        <f>_xll.qlYieldTSDiscount(Discounting,E4,,AllTriggers)</f>
        <v>1.0000061111391205</v>
      </c>
      <c r="O4" s="236" t="b">
        <v>1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42219</v>
      </c>
      <c r="F5" s="295">
        <f>_xll.qlInterestRateIndexMaturity(ON_6M_index,E5)</f>
        <v>42403</v>
      </c>
      <c r="G5" s="67">
        <f>_xll.qlQuoteValue(D5,AllTriggers)</f>
        <v>2.0000000000000019E-5</v>
      </c>
      <c r="H5" s="67">
        <f>_xll.qlIndexFixing(ON_3M_index,_xll.qlInterestRateIndexFixingDate(ON_3M_index,E5),,AllTriggers)</f>
        <v>-1.1353149141997241E-3</v>
      </c>
      <c r="I5" s="280">
        <f t="shared" si="0"/>
        <v>1.1553149141997241E-3</v>
      </c>
      <c r="J5" s="67">
        <f>_xll.qlTenorBasisValue($R$18,E5,Trigger)</f>
        <v>1.2440459935401077E-3</v>
      </c>
      <c r="K5" s="240">
        <f t="shared" ref="K5:K22" si="4">M5*10000</f>
        <v>-0.88731079340383534</v>
      </c>
      <c r="L5" s="285">
        <f>_xll.qlDayCounterYearFraction("actual/365 (fixed)",SettlementDate,E5,,,Trigger)</f>
        <v>8.7671232876712329E-2</v>
      </c>
      <c r="M5" s="279">
        <f t="shared" si="1"/>
        <v>-8.8731079340383535E-5</v>
      </c>
      <c r="N5" s="183">
        <f>_xll.qlYieldTSDiscount(Discounting,E5,,AllTriggers)</f>
        <v>1.0001137651741512</v>
      </c>
      <c r="O5" s="241" t="b">
        <v>1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42249</v>
      </c>
      <c r="F6" s="296">
        <f>_xll.qlInterestRateIndexMaturity(ON_6M_index,E6)</f>
        <v>42431</v>
      </c>
      <c r="G6" s="62">
        <f>_xll.qlQuoteValue(D6,AllTriggers)</f>
        <v>9.9999999999999991E-5</v>
      </c>
      <c r="H6" s="62">
        <f>_xll.qlIndexFixing(ON_3M_index,_xll.qlInterestRateIndexFixingDate(ON_3M_index,E6),,AllTriggers)</f>
        <v>-1.2198229043860452E-3</v>
      </c>
      <c r="I6" s="265">
        <f t="shared" si="0"/>
        <v>1.3198229043860452E-3</v>
      </c>
      <c r="J6" s="62">
        <f>_xll.qlTenorBasisValue($R$18,E6,Trigger)</f>
        <v>1.3534930842944587E-3</v>
      </c>
      <c r="K6" s="188">
        <f t="shared" si="4"/>
        <v>-0.33670179908413439</v>
      </c>
      <c r="L6" s="206">
        <f>_xll.qlDayCounterYearFraction("actual/365 (fixed)",SettlementDate,E6,,,Trigger)</f>
        <v>0.16986301369863013</v>
      </c>
      <c r="M6" s="234">
        <f t="shared" si="1"/>
        <v>-3.3670179908413438E-5</v>
      </c>
      <c r="N6" s="184">
        <f>_xll.qlYieldTSDiscount(Discounting,E6,,AllTriggers)</f>
        <v>1.0002117586394066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obj_005dc#0016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42279</v>
      </c>
      <c r="F7" s="296">
        <f>_xll.qlInterestRateIndexMaturity(ON_6M_index,E7)</f>
        <v>42464</v>
      </c>
      <c r="G7" s="62">
        <f>_xll.qlQuoteValue(D7,AllTriggers)</f>
        <v>1.7000000000000001E-4</v>
      </c>
      <c r="H7" s="62">
        <f>_xll.qlIndexFixing(ON_3M_index,_xll.qlInterestRateIndexFixingDate(ON_3M_index,E7),,AllTriggers)</f>
        <v>-1.2548439559266931E-3</v>
      </c>
      <c r="I7" s="265">
        <f t="shared" si="0"/>
        <v>1.4248439559266931E-3</v>
      </c>
      <c r="J7" s="62">
        <f>_xll.qlTenorBasisValue($R$18,E7,Trigger)</f>
        <v>1.4237549226995326E-3</v>
      </c>
      <c r="K7" s="188">
        <f t="shared" si="4"/>
        <v>1.089033227160514E-2</v>
      </c>
      <c r="L7" s="206">
        <f>_xll.qlDayCounterYearFraction("actual/365 (fixed)",SettlementDate,E7,,,Trigger)</f>
        <v>0.25205479452054796</v>
      </c>
      <c r="M7" s="234">
        <f t="shared" si="1"/>
        <v>1.089033227160514E-6</v>
      </c>
      <c r="N7" s="184">
        <f>_xll.qlYieldTSDiscount(Discounting,E7,,AllTriggers)</f>
        <v>1.0003118438255665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42310</v>
      </c>
      <c r="F8" s="296">
        <f>_xll.qlInterestRateIndexMaturity(ON_6M_index,E8)</f>
        <v>42492</v>
      </c>
      <c r="G8" s="62">
        <f>_xll.qlQuoteValue(D8,AllTriggers)</f>
        <v>1.7999999999999998E-4</v>
      </c>
      <c r="H8" s="62">
        <f>_xll.qlIndexFixing(ON_3M_index,_xll.qlInterestRateIndexFixingDate(ON_3M_index,E8),,AllTriggers)</f>
        <v>-1.3316863052989876E-3</v>
      </c>
      <c r="I8" s="265">
        <f t="shared" si="0"/>
        <v>1.5116863052989876E-3</v>
      </c>
      <c r="J8" s="62">
        <f>_xll.qlTenorBasisValue($R$18,E8,Trigger)</f>
        <v>1.4648015246813734E-3</v>
      </c>
      <c r="K8" s="188">
        <f t="shared" si="4"/>
        <v>0.46884780617614241</v>
      </c>
      <c r="L8" s="206">
        <f>_xll.qlDayCounterYearFraction("actual/365 (fixed)",SettlementDate,E8,,,Trigger)</f>
        <v>0.33698630136986302</v>
      </c>
      <c r="M8" s="234">
        <f t="shared" si="1"/>
        <v>4.6884780617614244E-5</v>
      </c>
      <c r="N8" s="184">
        <f>_xll.qlYieldTSDiscount(Discounting,E8,,AllTriggers)</f>
        <v>1.0003991995510015</v>
      </c>
      <c r="O8" s="237" t="b">
        <v>1</v>
      </c>
      <c r="Q8" s="277" t="s">
        <v>128</v>
      </c>
      <c r="R8" s="282" t="str">
        <f>_xll.qlPolynomialCalibrationEndCriteria(R6,)</f>
        <v>StationaryFunctionValue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42340</v>
      </c>
      <c r="F9" s="296">
        <f>_xll.qlInterestRateIndexMaturity(ON_6M_index,E9)</f>
        <v>42523</v>
      </c>
      <c r="G9" s="62">
        <f>_xll.qlQuoteValue(D9,AllTriggers)</f>
        <v>1.9000000000000004E-4</v>
      </c>
      <c r="H9" s="62">
        <f>_xll.qlIndexFixing(ON_3M_index,_xll.qlInterestRateIndexFixingDate(ON_3M_index,E9),,AllTriggers)</f>
        <v>-1.2794243132238129E-3</v>
      </c>
      <c r="I9" s="265">
        <f t="shared" si="0"/>
        <v>1.469424313223813E-3</v>
      </c>
      <c r="J9" s="62">
        <f>_xll.qlTenorBasisValue($R$18,E9,Trigger)</f>
        <v>1.4824167517323865E-3</v>
      </c>
      <c r="K9" s="188">
        <f t="shared" si="4"/>
        <v>-0.12992438508573501</v>
      </c>
      <c r="L9" s="206">
        <f>_xll.qlDayCounterYearFraction("actual/365 (fixed)",SettlementDate,E9,,,Trigger)</f>
        <v>0.41917808219178082</v>
      </c>
      <c r="M9" s="234">
        <f t="shared" si="1"/>
        <v>-1.2992438508573501E-5</v>
      </c>
      <c r="N9" s="184">
        <f>_xll.qlYieldTSDiscount(Discounting,E9,,AllTriggers)</f>
        <v>1.0005202631825545</v>
      </c>
      <c r="O9" s="237" t="b">
        <v>1</v>
      </c>
      <c r="Q9" s="277" t="s">
        <v>89</v>
      </c>
      <c r="R9" s="190">
        <f>_xll.qlPolynomialCalibrationError(R6,)</f>
        <v>4.0641110761151559E-5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42373</v>
      </c>
      <c r="F10" s="296">
        <f>_xll.qlInterestRateIndexMaturity(ON_6M_index,E10)</f>
        <v>42555</v>
      </c>
      <c r="G10" s="62">
        <f>_xll.qlQuoteValue(D10,AllTriggers)</f>
        <v>2.0000000000000001E-4</v>
      </c>
      <c r="H10" s="62">
        <f>_xll.qlIndexFixing(ON_3M_index,_xll.qlInterestRateIndexFixingDate(ON_3M_index,E10),,AllTriggers)</f>
        <v>-1.2676626940928708E-3</v>
      </c>
      <c r="I10" s="265">
        <f t="shared" si="0"/>
        <v>1.4676626940928709E-3</v>
      </c>
      <c r="J10" s="62">
        <f>_xll.qlTenorBasisValue($R$18,E10,Trigger)</f>
        <v>1.4855306555718588E-3</v>
      </c>
      <c r="K10" s="188">
        <f t="shared" si="4"/>
        <v>-0.17867961478987976</v>
      </c>
      <c r="L10" s="206">
        <f>_xll.qlDayCounterYearFraction("actual/365 (fixed)",SettlementDate,E10,,,Trigger)</f>
        <v>0.50958904109589043</v>
      </c>
      <c r="M10" s="234">
        <f t="shared" si="1"/>
        <v>-1.7867961478987976E-5</v>
      </c>
      <c r="N10" s="184">
        <f>_xll.qlYieldTSDiscount(Discounting,E10,,AllTriggers)</f>
        <v>1.0006397071275765</v>
      </c>
      <c r="O10" s="237" t="b">
        <v>1</v>
      </c>
      <c r="Q10" s="277" t="s">
        <v>124</v>
      </c>
      <c r="R10" s="190">
        <f>_xll.qlPolynomialCalibrationMaxError(R6,)</f>
        <v>8.8731079340383535E-5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N5</v>
      </c>
      <c r="D11" s="248" t="str">
        <f t="shared" ref="D11:D22" si="6">Currency&amp;"FUT"&amp;"3M"&amp;C11&amp;QuoteSuffix</f>
        <v>EURFUT3MN5_Quote</v>
      </c>
      <c r="E11" s="295">
        <f>_xll.qlIMMdate(C11,SettlementDate,Trigger)</f>
        <v>42200</v>
      </c>
      <c r="F11" s="295">
        <f>_xll.qlInterestRateIndexMaturity(ON_6M_index,E11)</f>
        <v>42384</v>
      </c>
      <c r="G11" s="67">
        <f>1-_xll.qlQuoteValue(D11,AllTriggers)/100-_xll.qlQuoteValue(Currency&amp;"FUT"&amp;"3M"&amp;C11&amp;"ConvAdj_Quote")</f>
        <v>2.4999999999941735E-5</v>
      </c>
      <c r="H11" s="67">
        <f>_xll.qlIndexFixing(ON_3M_index,_xll.qlInterestRateIndexFixingDate(ON_3M_index,E11),,AllTriggers)</f>
        <v>-1.210934356753988E-3</v>
      </c>
      <c r="I11" s="280">
        <f t="shared" si="0"/>
        <v>1.2359343567539297E-3</v>
      </c>
      <c r="J11" s="67">
        <f>_xll.qlTenorBasisValue($R$18,E11,Trigger)</f>
        <v>1.1500069487851065E-3</v>
      </c>
      <c r="K11" s="240">
        <f t="shared" si="4"/>
        <v>0.85927407968823188</v>
      </c>
      <c r="L11" s="285">
        <f>_xll.qlDayCounterYearFraction("actual/365 (fixed)",SettlementDate,E11,,,Trigger)</f>
        <v>3.5616438356164383E-2</v>
      </c>
      <c r="M11" s="279">
        <f t="shared" si="1"/>
        <v>8.5927407968823186E-5</v>
      </c>
      <c r="N11" s="183">
        <f>_xll.qlYieldTSDiscount(Discounting,E11,,AllTriggers)</f>
        <v>1.0000498077937994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Q5</v>
      </c>
      <c r="D12" s="249" t="str">
        <f t="shared" si="6"/>
        <v>EURFUT3MQ5_Quote</v>
      </c>
      <c r="E12" s="296">
        <f>_xll.qlIMMdate(C12,SettlementDate,Trigger)</f>
        <v>42235</v>
      </c>
      <c r="F12" s="296">
        <f>_xll.qlInterestRateIndexMaturity(ON_6M_index,E12)</f>
        <v>42419</v>
      </c>
      <c r="G12" s="62">
        <f>1-_xll.qlQuoteValue(D12,AllTriggers)/100-_xll.qlQuoteValue(Currency&amp;"FUT"&amp;"3M"&amp;C12&amp;"ConvAdj_Quote")</f>
        <v>7.4999999999936229E-5</v>
      </c>
      <c r="H12" s="62">
        <f>_xll.qlIndexFixing(ON_3M_index,_xll.qlInterestRateIndexFixingDate(ON_3M_index,E12),,AllTriggers)</f>
        <v>-1.2259256617205235E-3</v>
      </c>
      <c r="I12" s="265">
        <f t="shared" si="0"/>
        <v>1.3009256617204598E-3</v>
      </c>
      <c r="J12" s="62">
        <f>_xll.qlTenorBasisValue($R$18,E12,Trigger)</f>
        <v>1.3078763255581769E-3</v>
      </c>
      <c r="K12" s="188">
        <f t="shared" si="4"/>
        <v>-6.9506638377171429E-2</v>
      </c>
      <c r="L12" s="206">
        <f>_xll.qlDayCounterYearFraction("actual/365 (fixed)",SettlementDate,E12,,,Trigger)</f>
        <v>0.13150684931506848</v>
      </c>
      <c r="M12" s="234">
        <f t="shared" si="1"/>
        <v>-6.9506638377171432E-6</v>
      </c>
      <c r="N12" s="184">
        <f>_xll.qlYieldTSDiscount(Discounting,E12,,AllTriggers)</f>
        <v>1.0001676807725706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U5</v>
      </c>
      <c r="D13" s="249" t="str">
        <f t="shared" si="6"/>
        <v>EURFUT3MU5_Quote</v>
      </c>
      <c r="E13" s="296">
        <f>_xll.qlIMMdate(C13,SettlementDate,Trigger)</f>
        <v>42263</v>
      </c>
      <c r="F13" s="296">
        <f>_xll.qlInterestRateIndexMaturity(ON_6M_index,E13)</f>
        <v>42445</v>
      </c>
      <c r="G13" s="62">
        <f>1-_xll.qlQuoteValue(D13,AllTriggers)/100-_xll.qlQuoteValue(Currency&amp;"FUT"&amp;"3M"&amp;C13&amp;"ConvAdj_Quote")</f>
        <v>1.7500000000003624E-4</v>
      </c>
      <c r="H13" s="62">
        <f>_xll.qlIndexFixing(ON_3M_index,_xll.qlInterestRateIndexFixingDate(ON_3M_index,E13),,AllTriggers)</f>
        <v>-1.2606622968968828E-3</v>
      </c>
      <c r="I13" s="265">
        <f t="shared" si="0"/>
        <v>1.435662296896919E-3</v>
      </c>
      <c r="J13" s="62">
        <f>_xll.qlTenorBasisValue($R$18,E13,Trigger)</f>
        <v>1.3905880397978181E-3</v>
      </c>
      <c r="K13" s="188">
        <f t="shared" si="4"/>
        <v>0.4507425709910089</v>
      </c>
      <c r="L13" s="206">
        <f>_xll.qlDayCounterYearFraction("actual/365 (fixed)",SettlementDate,E13,,,Trigger)</f>
        <v>0.20821917808219179</v>
      </c>
      <c r="M13" s="234">
        <f t="shared" si="1"/>
        <v>4.5074257099100888E-5</v>
      </c>
      <c r="N13" s="184">
        <f>_xll.qlYieldTSDiscount(Discounting,E13,,AllTriggers)</f>
        <v>1.0002609428362952</v>
      </c>
      <c r="O13" s="237" t="b">
        <v>1</v>
      </c>
      <c r="Q13" s="277" t="s">
        <v>113</v>
      </c>
      <c r="R13" s="190">
        <f t="array" ref="R13:R17">_xll.qlPolynomialCalibrationCoefficients($R$6,R7)</f>
        <v>1.0729532415909369E-3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Z5</v>
      </c>
      <c r="D14" s="249" t="str">
        <f t="shared" si="6"/>
        <v>EURFUT3MZ5_Quote</v>
      </c>
      <c r="E14" s="296">
        <f>_xll.qlIMMdate(C14,SettlementDate,Trigger)</f>
        <v>42354</v>
      </c>
      <c r="F14" s="296">
        <f>_xll.qlInterestRateIndexMaturity(ON_6M_index,E14)</f>
        <v>42537</v>
      </c>
      <c r="G14" s="62">
        <f>1-_xll.qlQuoteValue(D14,AllTriggers)/100-_xll.qlQuoteValue(Currency&amp;"FUT"&amp;"3M"&amp;C14&amp;"ConvAdj_Quote")</f>
        <v>2.2500000000003073E-4</v>
      </c>
      <c r="H14" s="62">
        <f>_xll.qlIndexFixing(ON_3M_index,_xll.qlInterestRateIndexFixingDate(ON_3M_index,E14),,AllTriggers)</f>
        <v>-1.2550714154177859E-3</v>
      </c>
      <c r="I14" s="265">
        <f t="shared" si="0"/>
        <v>1.4800714154178166E-3</v>
      </c>
      <c r="J14" s="62">
        <f>_xll.qlTenorBasisValue($R$18,E14,Trigger)</f>
        <v>1.4853261661531897E-3</v>
      </c>
      <c r="K14" s="188">
        <f t="shared" si="4"/>
        <v>-5.2547507353730649E-2</v>
      </c>
      <c r="L14" s="206">
        <f>_xll.qlDayCounterYearFraction("actual/365 (fixed)",SettlementDate,E14,,,Trigger)</f>
        <v>0.45753424657534247</v>
      </c>
      <c r="M14" s="234">
        <f t="shared" si="1"/>
        <v>-5.2547507353730653E-6</v>
      </c>
      <c r="N14" s="184">
        <f>_xll.qlYieldTSDiscount(Discounting,E14,,AllTriggers)</f>
        <v>1.0005797950120101</v>
      </c>
      <c r="O14" s="237" t="b">
        <v>1</v>
      </c>
      <c r="Q14" s="277" t="s">
        <v>114</v>
      </c>
      <c r="R14" s="190">
        <v>2.3186216500831565E-3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H6</v>
      </c>
      <c r="D15" s="249" t="str">
        <f t="shared" si="6"/>
        <v>EURFUT3MH6_Quote</v>
      </c>
      <c r="E15" s="296">
        <f>_xll.qlIMMdate(C15,SettlementDate,Trigger)</f>
        <v>42445</v>
      </c>
      <c r="F15" s="296">
        <f>_xll.qlInterestRateIndexMaturity(ON_6M_index,E15)</f>
        <v>42629</v>
      </c>
      <c r="G15" s="62">
        <f>1-_xll.qlQuoteValue(D15,AllTriggers)/100-_xll.qlQuoteValue(Currency&amp;"FUT"&amp;"3M"&amp;C15&amp;"ConvAdj_Quote")</f>
        <v>2.2500000000003073E-4</v>
      </c>
      <c r="H15" s="62">
        <f>_xll.qlIndexFixing(ON_3M_index,_xll.qlInterestRateIndexFixingDate(ON_3M_index,E15),,AllTriggers)</f>
        <v>-1.2489106755923013E-3</v>
      </c>
      <c r="I15" s="265">
        <f t="shared" si="0"/>
        <v>1.473910675592332E-3</v>
      </c>
      <c r="J15" s="62">
        <f>_xll.qlTenorBasisValue($R$18,E15,Trigger)</f>
        <v>1.4721290218885315E-3</v>
      </c>
      <c r="K15" s="188">
        <f t="shared" si="4"/>
        <v>1.7816537038004704E-2</v>
      </c>
      <c r="L15" s="206">
        <f>_xll.qlDayCounterYearFraction("actual/365 (fixed)",SettlementDate,E15,,,Trigger)</f>
        <v>0.70684931506849313</v>
      </c>
      <c r="M15" s="234">
        <f t="shared" si="1"/>
        <v>1.7816537038004704E-6</v>
      </c>
      <c r="N15" s="184">
        <f>_xll.qlYieldTSDiscount(Discounting,E15,,AllTriggers)</f>
        <v>1.0008973338582543</v>
      </c>
      <c r="O15" s="237" t="b">
        <v>1</v>
      </c>
      <c r="Q15" s="277" t="s">
        <v>115</v>
      </c>
      <c r="R15" s="190">
        <v>-4.4760437436986555E-3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M6</v>
      </c>
      <c r="D16" s="249" t="str">
        <f t="shared" si="6"/>
        <v>EURFUT3MM6_Quote</v>
      </c>
      <c r="E16" s="296">
        <f>_xll.qlIMMdate(C16,SettlementDate,Trigger)</f>
        <v>42536</v>
      </c>
      <c r="F16" s="296">
        <f>_xll.qlInterestRateIndexMaturity(ON_6M_index,E16)</f>
        <v>42719</v>
      </c>
      <c r="G16" s="62">
        <f>1-_xll.qlQuoteValue(D16,AllTriggers)/100-_xll.qlQuoteValue(Currency&amp;"FUT"&amp;"3M"&amp;C16&amp;"ConvAdj_Quote")</f>
        <v>3.2500000000001972E-4</v>
      </c>
      <c r="H16" s="62">
        <f>_xll.qlIndexFixing(ON_3M_index,_xll.qlInterestRateIndexFixingDate(ON_3M_index,E16),,AllTriggers)</f>
        <v>-1.1749363001501351E-3</v>
      </c>
      <c r="I16" s="265">
        <f t="shared" si="0"/>
        <v>1.4999363001501548E-3</v>
      </c>
      <c r="J16" s="62">
        <f>_xll.qlTenorBasisValue($R$18,E16,Trigger)</f>
        <v>1.4982257821428168E-3</v>
      </c>
      <c r="K16" s="188">
        <f t="shared" si="4"/>
        <v>1.710518007338015E-2</v>
      </c>
      <c r="L16" s="206">
        <f>_xll.qlDayCounterYearFraction("actual/365 (fixed)",SettlementDate,E16,,,Trigger)</f>
        <v>0.95616438356164379</v>
      </c>
      <c r="M16" s="234">
        <f t="shared" si="1"/>
        <v>1.710518007338015E-6</v>
      </c>
      <c r="N16" s="184">
        <f>_xll.qlYieldTSDiscount(Discounting,E16,,AllTriggers)</f>
        <v>1.0012134752117698</v>
      </c>
      <c r="O16" s="237" t="b">
        <v>1</v>
      </c>
      <c r="Q16" s="277" t="s">
        <v>116</v>
      </c>
      <c r="R16" s="190">
        <v>3.3618413246584173E-3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U6</v>
      </c>
      <c r="D17" s="249" t="str">
        <f t="shared" si="6"/>
        <v>EURFUT3MU6_Quote</v>
      </c>
      <c r="E17" s="296">
        <f>_xll.qlIMMdate(C17,SettlementDate,Trigger)</f>
        <v>42634</v>
      </c>
      <c r="F17" s="296">
        <f>_xll.qlInterestRateIndexMaturity(ON_6M_index,E17)</f>
        <v>42815</v>
      </c>
      <c r="G17" s="62">
        <f>1-_xll.qlQuoteValue(D17,AllTriggers)/100-_xll.qlQuoteValue(Currency&amp;"FUT"&amp;"3M"&amp;C17&amp;"ConvAdj_Quote")</f>
        <v>5.2500000000010871E-4</v>
      </c>
      <c r="H17" s="62">
        <f>_xll.qlIndexFixing(ON_3M_index,_xll.qlInterestRateIndexFixingDate(ON_3M_index,E17),,AllTriggers)</f>
        <v>-1.2699280292009403E-3</v>
      </c>
      <c r="I17" s="265">
        <f t="shared" si="0"/>
        <v>1.794928029201049E-3</v>
      </c>
      <c r="J17" s="62">
        <f>_xll.qlTenorBasisValue($R$18,E17,Trigger)</f>
        <v>1.656362812204412E-3</v>
      </c>
      <c r="K17" s="188">
        <f t="shared" si="4"/>
        <v>1.3856521699663702</v>
      </c>
      <c r="L17" s="206">
        <f>_xll.qlDayCounterYearFraction("actual/365 (fixed)",SettlementDate,E17,,,Trigger)</f>
        <v>1.2246575342465753</v>
      </c>
      <c r="M17" s="234">
        <f t="shared" si="1"/>
        <v>1.3856521699663702E-4</v>
      </c>
      <c r="N17" s="184">
        <f>_xll.qlYieldTSDiscount(Discounting,E17,,AllTriggers)</f>
        <v>1.0015346042406399</v>
      </c>
      <c r="O17" s="237" t="b">
        <v>0</v>
      </c>
      <c r="Q17" s="277" t="s">
        <v>117</v>
      </c>
      <c r="R17" s="190">
        <v>-7.6367360093661718E-4</v>
      </c>
      <c r="S17" s="190" t="b">
        <v>1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Z6</v>
      </c>
      <c r="D18" s="249" t="str">
        <f t="shared" si="6"/>
        <v>EURFUT3MZ6_Quote</v>
      </c>
      <c r="E18" s="296">
        <f>_xll.qlIMMdate(C18,SettlementDate,Trigger)</f>
        <v>42725</v>
      </c>
      <c r="F18" s="296">
        <f>_xll.qlInterestRateIndexMaturity(ON_6M_index,E18)</f>
        <v>42907</v>
      </c>
      <c r="G18" s="62">
        <f>1-_xll.qlQuoteValue(D18,AllTriggers)/100-_xll.qlQuoteValue(Currency&amp;"FUT"&amp;"3M"&amp;C18&amp;"ConvAdj_Quote")</f>
        <v>9.2500000000006466E-4</v>
      </c>
      <c r="H18" s="62">
        <f>_xll.qlIndexFixing(ON_3M_index,_xll.qlInterestRateIndexFixingDate(ON_3M_index,E18),,AllTriggers)</f>
        <v>-5.9643000563580628E-4</v>
      </c>
      <c r="I18" s="265">
        <f t="shared" si="0"/>
        <v>1.5214300056358709E-3</v>
      </c>
      <c r="J18" s="62">
        <f>_xll.qlTenorBasisValue($R$18,E18,Trigger)</f>
        <v>1.9270160868198345E-3</v>
      </c>
      <c r="K18" s="188">
        <f t="shared" si="4"/>
        <v>-4.0558608118396355</v>
      </c>
      <c r="L18" s="206">
        <f>_xll.qlDayCounterYearFraction("actual/365 (fixed)",SettlementDate,E18,,,Trigger)</f>
        <v>1.473972602739726</v>
      </c>
      <c r="M18" s="234">
        <f t="shared" si="1"/>
        <v>-4.0558608118396351E-4</v>
      </c>
      <c r="N18" s="184">
        <f>_xll.qlYieldTSDiscount(Discounting,E18,,AllTriggers)</f>
        <v>1.0018562096869006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obj_005e1#0013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H7</v>
      </c>
      <c r="D19" s="249" t="str">
        <f t="shared" si="6"/>
        <v>EURFUT3MH7_Quote</v>
      </c>
      <c r="E19" s="296">
        <f>_xll.qlIMMdate(C19,SettlementDate,Trigger)</f>
        <v>42809</v>
      </c>
      <c r="F19" s="296">
        <f>_xll.qlInterestRateIndexMaturity(ON_6M_index,E19)</f>
        <v>42993</v>
      </c>
      <c r="G19" s="62">
        <f>1-_xll.qlQuoteValue(D19,AllTriggers)/100-_xll.qlQuoteValue(Currency&amp;"FUT"&amp;"3M"&amp;C19&amp;"ConvAdj_Quote")</f>
        <v>1.3750000000000151E-3</v>
      </c>
      <c r="H19" s="62">
        <f>_xll.qlIndexFixing(ON_3M_index,_xll.qlInterestRateIndexFixingDate(ON_3M_index,E19),,AllTriggers)</f>
        <v>-3.2301812868463646E-4</v>
      </c>
      <c r="I19" s="265">
        <f t="shared" si="0"/>
        <v>1.6980181286846516E-3</v>
      </c>
      <c r="J19" s="62">
        <f>_xll.qlTenorBasisValue($R$18,E19,Trigger)</f>
        <v>2.2223759053334197E-3</v>
      </c>
      <c r="K19" s="188">
        <f t="shared" si="4"/>
        <v>-5.2435777664876815</v>
      </c>
      <c r="L19" s="206">
        <f>_xll.qlDayCounterYearFraction("actual/365 (fixed)",SettlementDate,E19,,,Trigger)</f>
        <v>1.704109589041096</v>
      </c>
      <c r="M19" s="234">
        <f t="shared" si="1"/>
        <v>-5.2435777664876812E-4</v>
      </c>
      <c r="N19" s="184">
        <f>_xll.qlYieldTSDiscount(Discounting,E19,,AllTriggers)</f>
        <v>1.0019978284371764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M7</v>
      </c>
      <c r="D20" s="249" t="str">
        <f t="shared" si="6"/>
        <v>EURFUT3MM7_Quote</v>
      </c>
      <c r="E20" s="296">
        <f>_xll.qlIMMdate(C20,SettlementDate,Trigger)</f>
        <v>42907</v>
      </c>
      <c r="F20" s="296">
        <f>_xll.qlInterestRateIndexMaturity(ON_6M_index,E20)</f>
        <v>43090</v>
      </c>
      <c r="G20" s="62">
        <f>1-_xll.qlQuoteValue(D20,AllTriggers)/100-_xll.qlQuoteValue(Currency&amp;"FUT"&amp;"3M"&amp;C20&amp;"ConvAdj_Quote")</f>
        <v>1.9249999999999545E-3</v>
      </c>
      <c r="H20" s="62">
        <f>_xll.qlIndexFixing(ON_3M_index,_xll.qlInterestRateIndexFixingDate(ON_3M_index,E20),,AllTriggers)</f>
        <v>2.0263703397162814E-4</v>
      </c>
      <c r="I20" s="265">
        <f t="shared" si="0"/>
        <v>1.7223629660283264E-3</v>
      </c>
      <c r="J20" s="62">
        <f>_xll.qlTenorBasisValue($R$18,E20,Trigger)</f>
        <v>2.4713147645789649E-3</v>
      </c>
      <c r="K20" s="188">
        <f t="shared" si="4"/>
        <v>-7.4895179855063843</v>
      </c>
      <c r="L20" s="206">
        <f>_xll.qlDayCounterYearFraction("actual/365 (fixed)",SettlementDate,E20,,,Trigger)</f>
        <v>1.9726027397260273</v>
      </c>
      <c r="M20" s="234">
        <f t="shared" si="1"/>
        <v>-7.4895179855063846E-4</v>
      </c>
      <c r="N20" s="184">
        <f>_xll.qlYieldTSDiscount(Discounting,E20,,AllTriggers)</f>
        <v>1.0020822242068517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U7</v>
      </c>
      <c r="D21" s="249" t="str">
        <f t="shared" si="6"/>
        <v>EURFUT3MU7_Quote</v>
      </c>
      <c r="E21" s="296">
        <f>_xll.qlIMMdate(C21,SettlementDate,Trigger)</f>
        <v>42998</v>
      </c>
      <c r="F21" s="296">
        <f>_xll.qlInterestRateIndexMaturity(ON_6M_index,E21)</f>
        <v>43179</v>
      </c>
      <c r="G21" s="62">
        <f>1-_xll.qlQuoteValue(D21,AllTriggers)/100-_xll.qlQuoteValue(Currency&amp;"FUT"&amp;"3M"&amp;C21&amp;"ConvAdj_Quote")</f>
        <v>2.5249999999999995E-3</v>
      </c>
      <c r="H21" s="62">
        <f>_xll.qlIndexFixing(ON_3M_index,_xll.qlInterestRateIndexFixingDate(ON_3M_index,E21),,AllTriggers)</f>
        <v>8.0302396316599546E-4</v>
      </c>
      <c r="I21" s="265">
        <f t="shared" si="0"/>
        <v>1.721976036834004E-3</v>
      </c>
      <c r="J21" s="62">
        <f>_xll.qlTenorBasisValue($R$18,E21,Trigger)</f>
        <v>2.3912070052159971E-3</v>
      </c>
      <c r="K21" s="188">
        <f t="shared" si="4"/>
        <v>-6.6923096838199312</v>
      </c>
      <c r="L21" s="206">
        <f>_xll.qlDayCounterYearFraction("actual/365 (fixed)",SettlementDate,E21,,,Trigger)</f>
        <v>2.2219178082191782</v>
      </c>
      <c r="M21" s="234">
        <f t="shared" si="1"/>
        <v>-6.6923096838199313E-4</v>
      </c>
      <c r="N21" s="184">
        <f>_xll.qlYieldTSDiscount(Discounting,E21,,AllTriggers)</f>
        <v>1.0020316928351947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Z7</v>
      </c>
      <c r="D22" s="250" t="str">
        <f t="shared" si="6"/>
        <v>EURFUT3MZ7_Quote</v>
      </c>
      <c r="E22" s="297">
        <f>_xll.qlIMMdate(C22,SettlementDate,Trigger)</f>
        <v>43089</v>
      </c>
      <c r="F22" s="297">
        <f>_xll.qlInterestRateIndexMaturity(ON_6M_index,E22)</f>
        <v>43271</v>
      </c>
      <c r="G22" s="65">
        <f>1-_xll.qlQuoteValue(D22,AllTriggers)/100-_xll.qlQuoteValue(Currency&amp;"FUT"&amp;"3M"&amp;C22&amp;"ConvAdj_Quote")</f>
        <v>3.2249999999999224E-3</v>
      </c>
      <c r="H22" s="65">
        <f>_xll.qlIndexFixing(ON_3M_index,_xll.qlInterestRateIndexFixingDate(ON_3M_index,E22),,AllTriggers)</f>
        <v>1.5026146464620638E-3</v>
      </c>
      <c r="I22" s="260">
        <f t="shared" si="0"/>
        <v>1.7223853535378586E-3</v>
      </c>
      <c r="J22" s="65">
        <f>_xll.qlTenorBasisValue($R$18,E22,Trigger)</f>
        <v>1.7224040346784895E-3</v>
      </c>
      <c r="K22" s="189">
        <f t="shared" si="4"/>
        <v>-1.8681140630943949E-4</v>
      </c>
      <c r="L22" s="207">
        <f>_xll.qlDayCounterYearFraction("actual/365 (fixed)",SettlementDate,E22,,,Trigger)</f>
        <v>2.4712328767123286</v>
      </c>
      <c r="M22" s="235">
        <f t="shared" si="1"/>
        <v>-1.8681140630943949E-8</v>
      </c>
      <c r="N22" s="185">
        <f>_xll.qlYieldTSDiscount(Discounting,E22,,AllTriggers)</f>
        <v>1.001828335094735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42187</v>
      </c>
      <c r="H25" s="269">
        <f>_xll.qlCalendarAdvance(Calendar,SettlementDate,F25,"Following",,Trigger)</f>
        <v>42188</v>
      </c>
      <c r="I25" s="287">
        <f>_xll.qlTenorBasisForwardRate2(TenorBasis3M,G25,H25,AllTriggers)</f>
        <v>-4.8710257107842381E-4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42187</v>
      </c>
      <c r="H26" s="271">
        <f>_xll.qlCalendarAdvance(Calendar,SettlementDate,F26,"Following",,Trigger)</f>
        <v>42194</v>
      </c>
      <c r="I26" s="288">
        <f>_xll.qlTenorBasisForwardRate2(TenorBasis3M,G26,H26,AllTriggers)</f>
        <v>-4.5882414142336562E-4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42187</v>
      </c>
      <c r="H27" s="271">
        <f>_xll.qlCalendarAdvance(Calendar,SettlementDate,F27,"Following",,Trigger)</f>
        <v>42201</v>
      </c>
      <c r="I27" s="288">
        <f>_xll.qlTenorBasisForwardRate2(TenorBasis3M,G27,H27,AllTriggers)</f>
        <v>-4.2711533191384731E-4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42187</v>
      </c>
      <c r="H28" s="271">
        <f>_xll.qlCalendarAdvance(Calendar,SettlementDate,F28,"Following",,Trigger)</f>
        <v>42208</v>
      </c>
      <c r="I28" s="288">
        <f>_xll.qlTenorBasisForwardRate2(TenorBasis3M,G28,H28,AllTriggers)</f>
        <v>-3.9673590162246441E-4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42187</v>
      </c>
      <c r="H29" s="273">
        <f>_xll.qlCalendarAdvance(Calendar,SettlementDate,F29,"mf",TRUE,Trigger)</f>
        <v>42219</v>
      </c>
      <c r="I29" s="289">
        <f>_xll.qlTenorBasisForwardRate2(TenorBasis3M,G29,H29,AllTriggers)</f>
        <v>-3.4456966942583711E-4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42187</v>
      </c>
      <c r="H30" s="271">
        <f>_xll.qlCalendarAdvance(Calendar,SettlementDate,F30,"mf",TRUE,Trigger)</f>
        <v>42249</v>
      </c>
      <c r="I30" s="288">
        <f>_xll.qlTenorBasisForwardRate2(TenorBasis3M,G30,H30,AllTriggers)</f>
        <v>-2.2997948693555126E-4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42187</v>
      </c>
      <c r="H31" s="275">
        <f>_xll.qlCalendarAdvance(Calendar,SettlementDate,F31,"mf",TRUE,Trigger)</f>
        <v>42279</v>
      </c>
      <c r="I31" s="291">
        <f>_xll.qlTenorBasisForwardRate2(TenorBasis3M,G31,H31,AllTriggers)</f>
        <v>-1.5703831490622495E-4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S17" sqref="S17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42187</v>
      </c>
      <c r="F3" s="294">
        <f>_xll.qlInterestRateIndexMaturity(PROPER(Currency)&amp;"ibor"&amp;$F$1,E3)</f>
        <v>42373</v>
      </c>
      <c r="G3" s="258">
        <f>J3+$H$4</f>
        <v>4.7926264344616814E-4</v>
      </c>
      <c r="H3" s="239"/>
      <c r="I3" s="239"/>
      <c r="J3" s="190">
        <f>_xll.qlTenorBasisValue($R$18,E3,Trigger)</f>
        <v>1.7047934790020772E-3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obj_00591#0000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42187</v>
      </c>
      <c r="F4" s="294">
        <f>_xll.qlInterestRateIndexMaturity(ON_6M_index,E4)</f>
        <v>42373</v>
      </c>
      <c r="G4" s="190">
        <f>_xll.qlQuoteValue(D4,LastFixingsTrigger)</f>
        <v>5.0000000000000001E-4</v>
      </c>
      <c r="H4" s="190">
        <f>_xll.qlIndexFixing(ON_6M_index,_xll.qlInterestRateIndexFixingDate(ON_6M_index,E4),,AllTriggers)</f>
        <v>-1.225530835555909E-3</v>
      </c>
      <c r="I4" s="258">
        <f t="shared" ref="I4:I22" si="0">G4-H4</f>
        <v>1.725530835555909E-3</v>
      </c>
      <c r="J4" s="186">
        <f>_xll.qlTenorBasisValue($R$18,E4,Trigger)</f>
        <v>1.7047934790020772E-3</v>
      </c>
      <c r="K4" s="187">
        <f>M4*10000</f>
        <v>0.2073735655383187</v>
      </c>
      <c r="L4" s="284">
        <f>_xll.qlDayCounterYearFraction("actual/365 (fixed)",SettlementDate,E4,,,Trigger)</f>
        <v>0</v>
      </c>
      <c r="M4" s="278">
        <f t="shared" ref="M4:M22" si="1">I4-J4</f>
        <v>2.0737356553831871E-5</v>
      </c>
      <c r="N4" s="281">
        <f>_xll.qlYieldTSDiscount(Discounting,E4,,AllTriggers)</f>
        <v>1.0000061111391205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42219</v>
      </c>
      <c r="F5" s="295">
        <f>_xll.qlInterestRateIndexMaturity(ON_6M_index,E5)</f>
        <v>42403</v>
      </c>
      <c r="G5" s="67">
        <f>_xll.qlQuoteValue(D5,AllTriggers)</f>
        <v>6.7000000000000002E-4</v>
      </c>
      <c r="H5" s="67">
        <f>_xll.qlIndexFixing(ON_6M_index,_xll.qlInterestRateIndexFixingDate(ON_6M_index,E5),,AllTriggers)</f>
        <v>-1.2313387364137895E-3</v>
      </c>
      <c r="I5" s="280">
        <f t="shared" si="0"/>
        <v>1.9013387364137896E-3</v>
      </c>
      <c r="J5" s="67">
        <f>_xll.qlTenorBasisValue($R$18,E5,Trigger)</f>
        <v>1.8960368512179057E-3</v>
      </c>
      <c r="K5" s="240">
        <f t="shared" ref="K5:K22" si="4">M5*10000</f>
        <v>5.3018851958839139E-2</v>
      </c>
      <c r="L5" s="285">
        <f>_xll.qlDayCounterYearFraction("actual/365 (fixed)",SettlementDate,E5,,,Trigger)</f>
        <v>8.7671232876712329E-2</v>
      </c>
      <c r="M5" s="279">
        <f t="shared" si="1"/>
        <v>5.3018851958839142E-6</v>
      </c>
      <c r="N5" s="183">
        <f>_xll.qlYieldTSDiscount(Discounting,E5,,AllTriggers)</f>
        <v>1.0001137651741512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42249</v>
      </c>
      <c r="F6" s="296">
        <f>_xll.qlInterestRateIndexMaturity(ON_6M_index,E6)</f>
        <v>42431</v>
      </c>
      <c r="G6" s="62">
        <f>_xll.qlQuoteValue(D6,AllTriggers)</f>
        <v>7.6000000000000015E-4</v>
      </c>
      <c r="H6" s="62">
        <f>_xll.qlIndexFixing(ON_6M_index,_xll.qlInterestRateIndexFixingDate(ON_6M_index,E6),,AllTriggers)</f>
        <v>-1.2494263573209913E-3</v>
      </c>
      <c r="I6" s="265">
        <f t="shared" si="0"/>
        <v>2.0094263573209913E-3</v>
      </c>
      <c r="J6" s="62">
        <f>_xll.qlTenorBasisValue($R$18,E6,Trigger)</f>
        <v>2.0212511726054078E-3</v>
      </c>
      <c r="K6" s="188">
        <f t="shared" si="4"/>
        <v>-0.1182481528441649</v>
      </c>
      <c r="L6" s="206">
        <f>_xll.qlDayCounterYearFraction("actual/365 (fixed)",SettlementDate,E6,,,Trigger)</f>
        <v>0.16986301369863013</v>
      </c>
      <c r="M6" s="234">
        <f t="shared" si="1"/>
        <v>-1.1824815284416489E-5</v>
      </c>
      <c r="N6" s="184">
        <f>_xll.qlYieldTSDiscount(Discounting,E6,,AllTriggers)</f>
        <v>1.0002117586394066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obj_005dd#0002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42279</v>
      </c>
      <c r="F7" s="296">
        <f>_xll.qlInterestRateIndexMaturity(ON_6M_index,E7)</f>
        <v>42464</v>
      </c>
      <c r="G7" s="62">
        <f>_xll.qlQuoteValue(D7,AllTriggers)</f>
        <v>8.4000000000000014E-4</v>
      </c>
      <c r="H7" s="62">
        <f>_xll.qlIndexFixing(ON_6M_index,_xll.qlInterestRateIndexFixingDate(ON_6M_index,E7),,AllTriggers)</f>
        <v>-1.260945079847291E-3</v>
      </c>
      <c r="I7" s="265">
        <f t="shared" si="0"/>
        <v>2.100945079847291E-3</v>
      </c>
      <c r="J7" s="62">
        <f>_xll.qlTenorBasisValue($R$18,E7,Trigger)</f>
        <v>2.1073209943203533E-3</v>
      </c>
      <c r="K7" s="188">
        <f t="shared" si="4"/>
        <v>-6.3759144730622497E-2</v>
      </c>
      <c r="L7" s="206">
        <f>_xll.qlDayCounterYearFraction("actual/365 (fixed)",SettlementDate,E7,,,Trigger)</f>
        <v>0.25205479452054796</v>
      </c>
      <c r="M7" s="234">
        <f t="shared" si="1"/>
        <v>-6.375914473062249E-6</v>
      </c>
      <c r="N7" s="184">
        <f>_xll.qlYieldTSDiscount(Discounting,E7,,AllTriggers)</f>
        <v>1.0003118438255665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42310</v>
      </c>
      <c r="F8" s="296">
        <f>_xll.qlInterestRateIndexMaturity(ON_6M_index,E8)</f>
        <v>42492</v>
      </c>
      <c r="G8" s="62">
        <f>_xll.qlQuoteValue(D8,AllTriggers)</f>
        <v>8.8999999999999995E-4</v>
      </c>
      <c r="H8" s="62">
        <f>_xll.qlIndexFixing(ON_6M_index,_xll.qlInterestRateIndexFixingDate(ON_6M_index,E8),,AllTriggers)</f>
        <v>-1.3009224663834513E-3</v>
      </c>
      <c r="I8" s="265">
        <f t="shared" si="0"/>
        <v>2.1909224663834515E-3</v>
      </c>
      <c r="J8" s="62">
        <f>_xll.qlTenorBasisValue($R$18,E8,Trigger)</f>
        <v>2.1671199280410883E-3</v>
      </c>
      <c r="K8" s="188">
        <f t="shared" si="4"/>
        <v>0.23802538342363161</v>
      </c>
      <c r="L8" s="206">
        <f>_xll.qlDayCounterYearFraction("actual/365 (fixed)",SettlementDate,E8,,,Trigger)</f>
        <v>0.33698630136986302</v>
      </c>
      <c r="M8" s="234">
        <f t="shared" si="1"/>
        <v>2.380253834236316E-5</v>
      </c>
      <c r="N8" s="184">
        <f>_xll.qlYieldTSDiscount(Discounting,E8,,AllTriggers)</f>
        <v>1.0003991995510015</v>
      </c>
      <c r="O8" s="237" t="b">
        <v>1</v>
      </c>
      <c r="Q8" s="277" t="s">
        <v>128</v>
      </c>
      <c r="R8" s="282" t="str">
        <f>_xll.qlPolynomialCalibrationEndCriteria(R6,)</f>
        <v>None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42340</v>
      </c>
      <c r="F9" s="296">
        <f>_xll.qlInterestRateIndexMaturity(ON_6M_index,E9)</f>
        <v>42523</v>
      </c>
      <c r="G9" s="62">
        <f>_xll.qlQuoteValue(D9,AllTriggers)</f>
        <v>9.2999999999999995E-4</v>
      </c>
      <c r="H9" s="62">
        <f>_xll.qlIndexFixing(ON_6M_index,_xll.qlInterestRateIndexFixingDate(ON_6M_index,E9),,AllTriggers)</f>
        <v>-1.2726738150700735E-3</v>
      </c>
      <c r="I9" s="265">
        <f t="shared" si="0"/>
        <v>2.2026738150700735E-3</v>
      </c>
      <c r="J9" s="62">
        <f>_xll.qlTenorBasisValue($R$18,E9,Trigger)</f>
        <v>2.2067495848118943E-3</v>
      </c>
      <c r="K9" s="188">
        <f t="shared" si="4"/>
        <v>-4.0757697418207159E-2</v>
      </c>
      <c r="L9" s="206">
        <f>_xll.qlDayCounterYearFraction("actual/365 (fixed)",SettlementDate,E9,,,Trigger)</f>
        <v>0.41917808219178082</v>
      </c>
      <c r="M9" s="234">
        <f t="shared" si="1"/>
        <v>-4.0757697418207159E-6</v>
      </c>
      <c r="N9" s="184">
        <f>_xll.qlYieldTSDiscount(Discounting,E9,,AllTriggers)</f>
        <v>1.0005202631825545</v>
      </c>
      <c r="O9" s="237" t="b">
        <v>1</v>
      </c>
      <c r="Q9" s="277" t="s">
        <v>89</v>
      </c>
      <c r="R9" s="190">
        <f>_xll.qlPolynomialCalibrationError(R6,)</f>
        <v>1.6697404799277443E-4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42373</v>
      </c>
      <c r="F10" s="296">
        <f>_xll.qlInterestRateIndexMaturity(ON_6M_index,E10)</f>
        <v>42555</v>
      </c>
      <c r="G10" s="62">
        <f>_xll.qlQuoteValue(D10,AllTriggers)</f>
        <v>9.7999999999999997E-4</v>
      </c>
      <c r="H10" s="62">
        <f>_xll.qlIndexFixing(ON_6M_index,_xll.qlInterestRateIndexFixingDate(ON_6M_index,E10),,AllTriggers)</f>
        <v>-1.2590155686833136E-3</v>
      </c>
      <c r="I10" s="265">
        <f t="shared" si="0"/>
        <v>2.2390155686833136E-3</v>
      </c>
      <c r="J10" s="62">
        <f>_xll.qlTenorBasisValue($R$18,E10,Trigger)</f>
        <v>2.2393386564915157E-3</v>
      </c>
      <c r="K10" s="188">
        <f t="shared" si="4"/>
        <v>-3.2308780820210561E-3</v>
      </c>
      <c r="L10" s="206">
        <f>_xll.qlDayCounterYearFraction("actual/365 (fixed)",SettlementDate,E10,,,Trigger)</f>
        <v>0.50958904109589043</v>
      </c>
      <c r="M10" s="234">
        <f t="shared" si="1"/>
        <v>-3.2308780820210561E-7</v>
      </c>
      <c r="N10" s="184">
        <f>_xll.qlYieldTSDiscount(Discounting,E10,,AllTriggers)</f>
        <v>1.0006397071275765</v>
      </c>
      <c r="O10" s="237" t="b">
        <v>1</v>
      </c>
      <c r="Q10" s="277" t="s">
        <v>124</v>
      </c>
      <c r="R10" s="190">
        <f>_xll.qlPolynomialCalibrationMaxError(R6,)</f>
        <v>2.380253834236316E-5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42402</v>
      </c>
      <c r="F11" s="295">
        <f>_xll.qlInterestRateIndexMaturity(ON_6M_index,E11)</f>
        <v>42584</v>
      </c>
      <c r="G11" s="67">
        <f>_xll.qlQuoteValue(D11,AllTriggers)</f>
        <v>1.0200000000000001E-3</v>
      </c>
      <c r="H11" s="67">
        <f>_xll.qlIndexFixing(ON_6M_index,_xll.qlInterestRateIndexFixingDate(ON_6M_index,E11),,AllTriggers)</f>
        <v>-1.246293034108014E-3</v>
      </c>
      <c r="I11" s="280">
        <f t="shared" si="0"/>
        <v>2.2662930341080141E-3</v>
      </c>
      <c r="J11" s="67">
        <f>_xll.qlTenorBasisValue($R$18,E11,Trigger)</f>
        <v>2.2650340884437267E-3</v>
      </c>
      <c r="K11" s="240">
        <f t="shared" si="4"/>
        <v>1.2589456642874038E-2</v>
      </c>
      <c r="L11" s="285">
        <f>_xll.qlDayCounterYearFraction("actual/365 (fixed)",SettlementDate,E11,,,Trigger)</f>
        <v>0.58904109589041098</v>
      </c>
      <c r="M11" s="279">
        <f t="shared" si="1"/>
        <v>1.2589456642874038E-6</v>
      </c>
      <c r="N11" s="183">
        <f>_xll.qlYieldTSDiscount(Discounting,E11,,AllTriggers)</f>
        <v>1.0007397711433703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42431</v>
      </c>
      <c r="F12" s="296">
        <f>_xll.qlInterestRateIndexMaturity(ON_6M_index,E12)</f>
        <v>42615</v>
      </c>
      <c r="G12" s="62">
        <f>_xll.qlQuoteValue(D12,AllTriggers)</f>
        <v>1.0500000000000002E-3</v>
      </c>
      <c r="H12" s="62">
        <f>_xll.qlIndexFixing(ON_6M_index,_xll.qlInterestRateIndexFixingDate(ON_6M_index,E12),,AllTriggers)</f>
        <v>-1.2248343064241718E-3</v>
      </c>
      <c r="I12" s="265">
        <f t="shared" si="0"/>
        <v>2.2748343064241719E-3</v>
      </c>
      <c r="J12" s="62">
        <f>_xll.qlTenorBasisValue($R$18,E12,Trigger)</f>
        <v>2.2925529402296196E-3</v>
      </c>
      <c r="K12" s="188">
        <f t="shared" si="4"/>
        <v>-0.17718633805447695</v>
      </c>
      <c r="L12" s="206">
        <f>_xll.qlDayCounterYearFraction("actual/365 (fixed)",SettlementDate,E12,,,Trigger)</f>
        <v>0.66849315068493154</v>
      </c>
      <c r="M12" s="234">
        <f t="shared" si="1"/>
        <v>-1.7718633805447696E-5</v>
      </c>
      <c r="N12" s="184">
        <f>_xll.qlYieldTSDiscount(Discounting,E12,,AllTriggers)</f>
        <v>1.0008439461579424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42464</v>
      </c>
      <c r="F13" s="296">
        <f>_xll.qlInterestRateIndexMaturity(ON_6M_index,E13)</f>
        <v>42647</v>
      </c>
      <c r="G13" s="62">
        <f>_xll.qlQuoteValue(D13,AllTriggers)</f>
        <v>1.1000000000000001E-3</v>
      </c>
      <c r="H13" s="62">
        <f>_xll.qlIndexFixing(ON_6M_index,_xll.qlInterestRateIndexFixingDate(ON_6M_index,E13),,AllTriggers)</f>
        <v>-1.2168654332196092E-3</v>
      </c>
      <c r="I13" s="265">
        <f t="shared" si="0"/>
        <v>2.316865433219609E-3</v>
      </c>
      <c r="J13" s="62">
        <f>_xll.qlTenorBasisValue($R$18,E13,Trigger)</f>
        <v>2.3297769137166652E-3</v>
      </c>
      <c r="K13" s="188">
        <f t="shared" si="4"/>
        <v>-0.12911480497056205</v>
      </c>
      <c r="L13" s="206">
        <f>_xll.qlDayCounterYearFraction("actual/365 (fixed)",SettlementDate,E13,,,Trigger)</f>
        <v>0.75890410958904109</v>
      </c>
      <c r="M13" s="234">
        <f t="shared" si="1"/>
        <v>-1.2911480497056205E-5</v>
      </c>
      <c r="N13" s="184">
        <f>_xll.qlYieldTSDiscount(Discounting,E13,,AllTriggers)</f>
        <v>1.0009604518506312</v>
      </c>
      <c r="O13" s="237" t="b">
        <v>1</v>
      </c>
      <c r="Q13" s="277" t="s">
        <v>113</v>
      </c>
      <c r="R13" s="190">
        <f t="array" ref="R13:R17">_xll.qlPolynomialCalibrationCoefficients($R$6,R7)</f>
        <v>1.7047934790020772E-3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42492</v>
      </c>
      <c r="F14" s="296">
        <f>_xll.qlInterestRateIndexMaturity(ON_6M_index,E14)</f>
        <v>42676</v>
      </c>
      <c r="G14" s="62">
        <f>_xll.qlQuoteValue(D14,AllTriggers)</f>
        <v>1.16E-3</v>
      </c>
      <c r="H14" s="62">
        <f>_xll.qlIndexFixing(ON_6M_index,_xll.qlInterestRateIndexFixingDate(ON_6M_index,E14),,AllTriggers)</f>
        <v>-1.2275315051609196E-3</v>
      </c>
      <c r="I14" s="265">
        <f t="shared" si="0"/>
        <v>2.3875315051609196E-3</v>
      </c>
      <c r="J14" s="62">
        <f>_xll.qlTenorBasisValue($R$18,E14,Trigger)</f>
        <v>2.3678553040500736E-3</v>
      </c>
      <c r="K14" s="188">
        <f t="shared" si="4"/>
        <v>0.19676201110846014</v>
      </c>
      <c r="L14" s="206">
        <f>_xll.qlDayCounterYearFraction("actual/365 (fixed)",SettlementDate,E14,,,Trigger)</f>
        <v>0.83561643835616439</v>
      </c>
      <c r="M14" s="234">
        <f t="shared" si="1"/>
        <v>1.9676201110846014E-5</v>
      </c>
      <c r="N14" s="184">
        <f>_xll.qlYieldTSDiscount(Discounting,E14,,AllTriggers)</f>
        <v>1.0010575836919455</v>
      </c>
      <c r="O14" s="237" t="b">
        <v>1</v>
      </c>
      <c r="Q14" s="277" t="s">
        <v>114</v>
      </c>
      <c r="R14" s="190">
        <v>2.5840276703188478E-3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42523</v>
      </c>
      <c r="F15" s="296">
        <f>_xll.qlInterestRateIndexMaturity(ON_6M_index,E15)</f>
        <v>42706</v>
      </c>
      <c r="G15" s="62">
        <f>_xll.qlQuoteValue(D15,AllTriggers)</f>
        <v>1.2099999999999999E-3</v>
      </c>
      <c r="H15" s="62">
        <f>_xll.qlIndexFixing(ON_6M_index,_xll.qlInterestRateIndexFixingDate(ON_6M_index,E15),,AllTriggers)</f>
        <v>-1.2293711930767906E-3</v>
      </c>
      <c r="I15" s="265">
        <f t="shared" si="0"/>
        <v>2.4393711930767907E-3</v>
      </c>
      <c r="J15" s="62">
        <f>_xll.qlTenorBasisValue($R$18,E15,Trigger)</f>
        <v>2.4170225021336008E-3</v>
      </c>
      <c r="K15" s="188">
        <f t="shared" si="4"/>
        <v>0.22348690943189975</v>
      </c>
      <c r="L15" s="206">
        <f>_xll.qlDayCounterYearFraction("actual/365 (fixed)",SettlementDate,E15,,,Trigger)</f>
        <v>0.92054794520547945</v>
      </c>
      <c r="M15" s="234">
        <f t="shared" si="1"/>
        <v>2.2348690943189975E-5</v>
      </c>
      <c r="N15" s="184">
        <f>_xll.qlYieldTSDiscount(Discounting,E15,,AllTriggers)</f>
        <v>1.0011679613090507</v>
      </c>
      <c r="O15" s="237" t="b">
        <v>1</v>
      </c>
      <c r="Q15" s="277" t="s">
        <v>115</v>
      </c>
      <c r="R15" s="190">
        <v>-4.9856646865169742E-3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42555</v>
      </c>
      <c r="F16" s="296">
        <f>_xll.qlInterestRateIndexMaturity(ON_6M_index,E16)</f>
        <v>42739</v>
      </c>
      <c r="G16" s="62">
        <f>_xll.qlQuoteValue(D16,AllTriggers)</f>
        <v>1.31E-3</v>
      </c>
      <c r="H16" s="62">
        <f>_xll.qlIndexFixing(ON_6M_index,_xll.qlInterestRateIndexFixingDate(ON_6M_index,E16),,AllTriggers)</f>
        <v>-1.144141815965541E-3</v>
      </c>
      <c r="I16" s="265">
        <f t="shared" si="0"/>
        <v>2.4541418159655408E-3</v>
      </c>
      <c r="J16" s="62">
        <f>_xll.qlTenorBasisValue($R$18,E16,Trigger)</f>
        <v>2.4737121651205339E-3</v>
      </c>
      <c r="K16" s="188">
        <f t="shared" si="4"/>
        <v>-0.19570349154993116</v>
      </c>
      <c r="L16" s="206">
        <f>_xll.qlDayCounterYearFraction("actual/365 (fixed)",SettlementDate,E16,,,Trigger)</f>
        <v>1.0082191780821919</v>
      </c>
      <c r="M16" s="234">
        <f t="shared" si="1"/>
        <v>-1.9570349154993116E-5</v>
      </c>
      <c r="N16" s="184">
        <f>_xll.qlYieldTSDiscount(Discounting,E16,,AllTriggers)</f>
        <v>1.0012770222704872</v>
      </c>
      <c r="O16" s="237" t="b">
        <v>1</v>
      </c>
      <c r="Q16" s="277" t="s">
        <v>116</v>
      </c>
      <c r="R16" s="190">
        <v>4.6073626903643007E-3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42584</v>
      </c>
      <c r="F17" s="296">
        <f>_xll.qlInterestRateIndexMaturity(ON_6M_index,E17)</f>
        <v>42768</v>
      </c>
      <c r="G17" s="62">
        <f>_xll.qlQuoteValue(D17,AllTriggers)</f>
        <v>1.4199999999999998E-3</v>
      </c>
      <c r="H17" s="62">
        <f>_xll.qlIndexFixing(ON_6M_index,_xll.qlInterestRateIndexFixingDate(ON_6M_index,E17),,AllTriggers)</f>
        <v>-1.0937610203970922E-3</v>
      </c>
      <c r="I17" s="265">
        <f t="shared" si="0"/>
        <v>2.5137610203970918E-3</v>
      </c>
      <c r="J17" s="62">
        <f>_xll.qlTenorBasisValue($R$18,E17,Trigger)</f>
        <v>2.5271220568845684E-3</v>
      </c>
      <c r="K17" s="188">
        <f t="shared" si="4"/>
        <v>-0.13361036487476596</v>
      </c>
      <c r="L17" s="206">
        <f>_xll.qlDayCounterYearFraction("actual/365 (fixed)",SettlementDate,E17,,,Trigger)</f>
        <v>1.0876712328767124</v>
      </c>
      <c r="M17" s="234">
        <f t="shared" si="1"/>
        <v>-1.3361036487476597E-5</v>
      </c>
      <c r="N17" s="184">
        <f>_xll.qlYieldTSDiscount(Discounting,E17,,AllTriggers)</f>
        <v>1.0013707051513119</v>
      </c>
      <c r="O17" s="237" t="b">
        <v>0</v>
      </c>
      <c r="Q17" s="277" t="s">
        <v>117</v>
      </c>
      <c r="R17" s="190">
        <v>-1.4422895927512054E-3</v>
      </c>
      <c r="S17" s="190" t="b">
        <v>1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42615</v>
      </c>
      <c r="F18" s="296">
        <f>_xll.qlInterestRateIndexMaturity(ON_6M_index,E18)</f>
        <v>42796</v>
      </c>
      <c r="G18" s="62">
        <f>_xll.qlQuoteValue(D18,AllTriggers)</f>
        <v>1.5199999999999999E-3</v>
      </c>
      <c r="H18" s="62">
        <f>_xll.qlIndexFixing(ON_6M_index,_xll.qlInterestRateIndexFixingDate(ON_6M_index,E18),,AllTriggers)</f>
        <v>-1.0095065052251574E-3</v>
      </c>
      <c r="I18" s="265">
        <f t="shared" si="0"/>
        <v>2.5295065052251572E-3</v>
      </c>
      <c r="J18" s="62">
        <f>_xll.qlTenorBasisValue($R$18,E18,Trigger)</f>
        <v>2.581307096401446E-3</v>
      </c>
      <c r="K18" s="188">
        <f t="shared" si="4"/>
        <v>-0.51800591176288757</v>
      </c>
      <c r="L18" s="206">
        <f>_xll.qlDayCounterYearFraction("actual/365 (fixed)",SettlementDate,E18,,,Trigger)</f>
        <v>1.1726027397260275</v>
      </c>
      <c r="M18" s="234">
        <f t="shared" si="1"/>
        <v>-5.1800591176288761E-5</v>
      </c>
      <c r="N18" s="184">
        <f>_xll.qlYieldTSDiscount(Discounting,E18,,AllTriggers)</f>
        <v>1.0014708933993597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obj_005de#0002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42646</v>
      </c>
      <c r="F19" s="296">
        <f>_xll.qlInterestRateIndexMaturity(ON_6M_index,E19)</f>
        <v>42828</v>
      </c>
      <c r="G19" s="62">
        <f>_xll.qlQuoteValue(D19,AllTriggers)</f>
        <v>1.6699999999999998E-3</v>
      </c>
      <c r="H19" s="62">
        <f>_xll.qlIndexFixing(ON_6M_index,_xll.qlInterestRateIndexFixingDate(ON_6M_index,E19),,AllTriggers)</f>
        <v>-8.7814943594930991E-4</v>
      </c>
      <c r="I19" s="265">
        <f t="shared" si="0"/>
        <v>2.5481494359493096E-3</v>
      </c>
      <c r="J19" s="62">
        <f>_xll.qlTenorBasisValue($R$18,E19,Trigger)</f>
        <v>2.625579320722154E-3</v>
      </c>
      <c r="K19" s="188">
        <f t="shared" si="4"/>
        <v>-0.77429884772844348</v>
      </c>
      <c r="L19" s="206">
        <f>_xll.qlDayCounterYearFraction("actual/365 (fixed)",SettlementDate,E19,,,Trigger)</f>
        <v>1.2575342465753425</v>
      </c>
      <c r="M19" s="234">
        <f t="shared" si="1"/>
        <v>-7.7429884772844352E-5</v>
      </c>
      <c r="N19" s="184">
        <f>_xll.qlYieldTSDiscount(Discounting,E19,,AllTriggers)</f>
        <v>1.0015764469486579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42676</v>
      </c>
      <c r="F20" s="296">
        <f>_xll.qlInterestRateIndexMaturity(ON_6M_index,E20)</f>
        <v>42857</v>
      </c>
      <c r="G20" s="62">
        <f>_xll.qlQuoteValue(D20,AllTriggers)</f>
        <v>1.82E-3</v>
      </c>
      <c r="H20" s="62">
        <f>_xll.qlIndexFixing(ON_6M_index,_xll.qlInterestRateIndexFixingDate(ON_6M_index,E20),,AllTriggers)</f>
        <v>-7.2591780291129742E-4</v>
      </c>
      <c r="I20" s="265">
        <f t="shared" si="0"/>
        <v>2.5459178029112973E-3</v>
      </c>
      <c r="J20" s="62">
        <f>_xll.qlTenorBasisValue($R$18,E20,Trigger)</f>
        <v>2.6506804701143241E-3</v>
      </c>
      <c r="K20" s="188">
        <f t="shared" si="4"/>
        <v>-1.0476266720302676</v>
      </c>
      <c r="L20" s="206">
        <f>_xll.qlDayCounterYearFraction("actual/365 (fixed)",SettlementDate,E20,,,Trigger)</f>
        <v>1.3397260273972602</v>
      </c>
      <c r="M20" s="234">
        <f t="shared" si="1"/>
        <v>-1.0476266720302677E-4</v>
      </c>
      <c r="N20" s="184">
        <f>_xll.qlYieldTSDiscount(Discounting,E20,,AllTriggers)</f>
        <v>1.0016860465174733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42706</v>
      </c>
      <c r="F21" s="296">
        <f>_xll.qlInterestRateIndexMaturity(ON_6M_index,E21)</f>
        <v>42888</v>
      </c>
      <c r="G21" s="62">
        <f>_xll.qlQuoteValue(D21,AllTriggers)</f>
        <v>1.99E-3</v>
      </c>
      <c r="H21" s="62">
        <f>_xll.qlIndexFixing(ON_6M_index,_xll.qlInterestRateIndexFixingDate(ON_6M_index,E21),,AllTriggers)</f>
        <v>-5.5438792978159171E-4</v>
      </c>
      <c r="I21" s="265">
        <f t="shared" si="0"/>
        <v>2.5443879297815915E-3</v>
      </c>
      <c r="J21" s="62">
        <f>_xll.qlTenorBasisValue($R$18,E21,Trigger)</f>
        <v>2.6486259764918179E-3</v>
      </c>
      <c r="K21" s="188">
        <f t="shared" si="4"/>
        <v>-1.0423804671022638</v>
      </c>
      <c r="L21" s="206">
        <f>_xll.qlDayCounterYearFraction("actual/365 (fixed)",SettlementDate,E21,,,Trigger)</f>
        <v>1.4219178082191781</v>
      </c>
      <c r="M21" s="234">
        <f t="shared" si="1"/>
        <v>-1.0423804671022639E-4</v>
      </c>
      <c r="N21" s="184">
        <f>_xll.qlYieldTSDiscount(Discounting,E21,,AllTriggers)</f>
        <v>1.0017940127985892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42737</v>
      </c>
      <c r="F22" s="297">
        <f>_xll.qlInterestRateIndexMaturity(ON_6M_index,E22)</f>
        <v>42919</v>
      </c>
      <c r="G22" s="65">
        <f>_xll.qlQuoteValue(D22,AllTriggers)</f>
        <v>2.1600000000000005E-3</v>
      </c>
      <c r="H22" s="65">
        <f>_xll.qlIndexFixing(ON_6M_index,_xll.qlInterestRateIndexFixingDate(ON_6M_index,E22),,AllTriggers)</f>
        <v>-4.4648660845031325E-4</v>
      </c>
      <c r="I22" s="260">
        <f t="shared" si="0"/>
        <v>2.6064866084503139E-3</v>
      </c>
      <c r="J22" s="65">
        <f>_xll.qlTenorBasisValue($R$18,E22,Trigger)</f>
        <v>2.606074367104169E-3</v>
      </c>
      <c r="K22" s="189">
        <f t="shared" si="4"/>
        <v>4.1224134614487387E-3</v>
      </c>
      <c r="L22" s="207">
        <f>_xll.qlDayCounterYearFraction("actual/365 (fixed)",SettlementDate,E22,,,Trigger)</f>
        <v>1.5068493150684932</v>
      </c>
      <c r="M22" s="235">
        <f t="shared" si="1"/>
        <v>4.1224134614487387E-7</v>
      </c>
      <c r="N22" s="185">
        <f>_xll.qlYieldTSDiscount(Discounting,E22,,AllTriggers)</f>
        <v>1.0018574106716911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42187</v>
      </c>
      <c r="H25" s="295">
        <f>_xll.qlCalendarAdvance(Calendar,SettlementDate,F25,"Following",,Trigger)</f>
        <v>42188</v>
      </c>
      <c r="I25" s="287">
        <f>_xll.qlTenorBasisForwardRate2(TenorBasis6M,G25,H25,AllTriggers)</f>
        <v>-3.9458792169710932E-4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42187</v>
      </c>
      <c r="H26" s="296">
        <f>_xll.qlCalendarAdvance(Calendar,SettlementDate,F26,"Following",,Trigger)</f>
        <v>42194</v>
      </c>
      <c r="I26" s="288">
        <f>_xll.qlTenorBasisForwardRate2(TenorBasis6M,G26,H26,AllTriggers)</f>
        <v>-3.4882074422640637E-4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42187</v>
      </c>
      <c r="H27" s="296">
        <f>_xll.qlCalendarAdvance(Calendar,SettlementDate,F27,"Following",,Trigger)</f>
        <v>42201</v>
      </c>
      <c r="I27" s="288">
        <f>_xll.qlTenorBasisForwardRate2(TenorBasis6M,G27,H27,AllTriggers)</f>
        <v>-2.9738708666198529E-4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42187</v>
      </c>
      <c r="H28" s="296">
        <f>_xll.qlCalendarAdvance(Calendar,SettlementDate,F28,"Following",,Trigger)</f>
        <v>42208</v>
      </c>
      <c r="I28" s="288">
        <f>_xll.qlTenorBasisForwardRate2(TenorBasis6M,G28,H28,AllTriggers)</f>
        <v>-2.4799094100532874E-4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42187</v>
      </c>
      <c r="H29" s="301">
        <f>_xll.qlCalendarAdvance(Calendar,SettlementDate,F29,"mf",TRUE,Trigger)</f>
        <v>42219</v>
      </c>
      <c r="I29" s="289">
        <f>_xll.qlTenorBasisForwardRate2(TenorBasis6M,G29,H29,AllTriggers)</f>
        <v>-1.6731560503580045E-4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42187</v>
      </c>
      <c r="H30" s="296">
        <f>_xll.qlCalendarAdvance(Calendar,SettlementDate,F30,"mf",TRUE,Trigger)</f>
        <v>42249</v>
      </c>
      <c r="I30" s="288">
        <f>_xll.qlTenorBasisForwardRate2(TenorBasis6M,G30,H30,AllTriggers)</f>
        <v>1.7135171395336655E-5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42187</v>
      </c>
      <c r="H31" s="296">
        <f>_xll.qlCalendarAdvance(Calendar,SettlementDate,F31,"mf",TRUE,Trigger)</f>
        <v>42279</v>
      </c>
      <c r="I31" s="288">
        <f>_xll.qlTenorBasisForwardRate2(TenorBasis6M,G31,H31,AllTriggers)</f>
        <v>1.4970942120604377E-4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42187</v>
      </c>
      <c r="H32" s="296">
        <f>_xll.qlCalendarAdvance(Calendar,SettlementDate,F32,"mf",TRUE,Trigger)</f>
        <v>42310</v>
      </c>
      <c r="I32" s="288">
        <f>_xll.qlTenorBasisForwardRate2(TenorBasis6M,G32,H32,AllTriggers)</f>
        <v>2.6137895483839443E-4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42187</v>
      </c>
      <c r="H33" s="297">
        <f>_xll.qlCalendarAdvance(Calendar,SettlementDate,F33,"mf",TRUE,Trigger)</f>
        <v>42340</v>
      </c>
      <c r="I33" s="290">
        <f>_xll.qlTenorBasisForwardRate2(TenorBasis6M,G33,H33,AllTriggers)</f>
        <v>3.5794344177292E-4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42187</v>
      </c>
      <c r="H34" s="294">
        <f>_xll.qlCalendarAdvance(Calendar,SettlementDate,F34,"mf",TRUE,Trigger)</f>
        <v>42373</v>
      </c>
      <c r="I34" s="291">
        <f>_xll.qlTenorBasisForwardRate2(TenorBasis6M,G34,H34,AllTriggers)</f>
        <v>4.4048941423735494E-4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42187</v>
      </c>
      <c r="F3" s="294">
        <f>_xll.qlInterestRateIndexMaturity(PROPER(Currency)&amp;"ibor"&amp;$F$1,E3)</f>
        <v>42555</v>
      </c>
      <c r="G3" s="258">
        <f>J3+$H$4</f>
        <v>1.7371262017769262E-3</v>
      </c>
      <c r="H3" s="239"/>
      <c r="I3" s="239"/>
      <c r="J3" s="190">
        <f>_xll.qlTenorBasisValue($R$18,E3,Trigger)</f>
        <v>2.978823155624497E-3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obj_00590#0000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42187</v>
      </c>
      <c r="F4" s="294">
        <f>_xll.qlInterestRateIndexMaturity(ON_12M_index,E4)</f>
        <v>42555</v>
      </c>
      <c r="G4" s="190">
        <f>_xll.qlQuoteValue(D4,LastFixingsTrigger)</f>
        <v>1.64E-3</v>
      </c>
      <c r="H4" s="190">
        <f>_xll.qlIndexFixing(ON_12M_index,_xll.qlInterestRateIndexFixingDate(ON_12M_index,E4),,AllTriggers)</f>
        <v>-1.2416969538475708E-3</v>
      </c>
      <c r="I4" s="258">
        <f t="shared" ref="I4:I14" si="0">G4-H4</f>
        <v>2.8816969538475708E-3</v>
      </c>
      <c r="J4" s="186">
        <f>_xll.qlTenorBasisValue($R$18,E4,Trigger)</f>
        <v>2.978823155624497E-3</v>
      </c>
      <c r="K4" s="187">
        <f>L4*10000</f>
        <v>-0.97126201776926224</v>
      </c>
      <c r="L4" s="278">
        <f t="shared" ref="L4:L16" si="1">I4-J4</f>
        <v>-9.7126201776926227E-5</v>
      </c>
      <c r="M4" s="284">
        <f>_xll.qlDayCounterYearFraction("actual/365 (fixed)",SettlementDate,E4,,,Trigger)</f>
        <v>0</v>
      </c>
      <c r="N4" s="281">
        <f>_xll.qlYieldTSDiscount(Discounting,E4,,AllTriggers)</f>
        <v>1.0000061111391205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42219</v>
      </c>
      <c r="F5" s="295">
        <f>_xll.qlInterestRateIndexMaturity(ON_12M_index,E5)</f>
        <v>42585</v>
      </c>
      <c r="G5" s="67">
        <f>_xll.qlQuoteValue(D5,AllTriggers)</f>
        <v>1.8400000000000001E-3</v>
      </c>
      <c r="H5" s="67">
        <f>_xll.qlIndexFixing(ON_12M_index,_xll.qlInterestRateIndexFixingDate(ON_12M_index,E5),,AllTriggers)</f>
        <v>-1.2377850736445799E-3</v>
      </c>
      <c r="I5" s="280">
        <f t="shared" ref="I5:I13" si="3">G5-H5</f>
        <v>3.07778507364458E-3</v>
      </c>
      <c r="J5" s="67">
        <f>_xll.qlTenorBasisValue($R$18,E5,Trigger)</f>
        <v>3.0294746083728615E-3</v>
      </c>
      <c r="K5" s="240">
        <f t="shared" ref="K5:K16" si="4">L5*10000</f>
        <v>0.48310465271718483</v>
      </c>
      <c r="L5" s="279">
        <f t="shared" si="1"/>
        <v>4.8310465271718481E-5</v>
      </c>
      <c r="M5" s="285">
        <f>_xll.qlDayCounterYearFraction("actual/365 (fixed)",SettlementDate,E5,,,Trigger)</f>
        <v>8.7671232876712329E-2</v>
      </c>
      <c r="N5" s="183">
        <f>_xll.qlYieldTSDiscount(Discounting,E5,,AllTriggers)</f>
        <v>1.0001137651741512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42249</v>
      </c>
      <c r="F6" s="296">
        <f>_xll.qlInterestRateIndexMaturity(ON_12M_index,E6)</f>
        <v>42615</v>
      </c>
      <c r="G6" s="62">
        <f>_xll.qlQuoteValue(D6,AllTriggers)</f>
        <v>1.9E-3</v>
      </c>
      <c r="H6" s="62">
        <f>_xll.qlIndexFixing(ON_12M_index,_xll.qlInterestRateIndexFixingDate(ON_12M_index,E6),,AllTriggers)</f>
        <v>-1.236674190607109E-3</v>
      </c>
      <c r="I6" s="265">
        <f t="shared" si="3"/>
        <v>3.136674190607109E-3</v>
      </c>
      <c r="J6" s="62">
        <f>_xll.qlTenorBasisValue($R$18,E6,Trigger)</f>
        <v>3.0803062840578763E-3</v>
      </c>
      <c r="K6" s="188">
        <f t="shared" si="4"/>
        <v>0.56367906549232694</v>
      </c>
      <c r="L6" s="234">
        <f t="shared" si="1"/>
        <v>5.6367906549232693E-5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1.0002117586394066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obj_005da#0000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42279</v>
      </c>
      <c r="F7" s="296">
        <f>_xll.qlInterestRateIndexMaturity(ON_12M_index,E7)</f>
        <v>42646</v>
      </c>
      <c r="G7" s="62">
        <f>_xll.qlQuoteValue(D7,AllTriggers)</f>
        <v>1.9400000000000001E-3</v>
      </c>
      <c r="H7" s="62">
        <f>_xll.qlIndexFixing(ON_12M_index,_xll.qlInterestRateIndexFixingDate(ON_12M_index,E7),,AllTriggers)</f>
        <v>-1.2385301504790145E-3</v>
      </c>
      <c r="I7" s="265">
        <f t="shared" si="3"/>
        <v>3.1785301504790144E-3</v>
      </c>
      <c r="J7" s="62">
        <f>_xll.qlTenorBasisValue($R$18,E7,Trigger)</f>
        <v>3.1338071757530564E-3</v>
      </c>
      <c r="K7" s="188">
        <f t="shared" si="4"/>
        <v>0.44722974725958009</v>
      </c>
      <c r="L7" s="234">
        <f t="shared" si="1"/>
        <v>4.4722974725958011E-5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1.0003118438255665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42310</v>
      </c>
      <c r="F8" s="296">
        <f>_xll.qlInterestRateIndexMaturity(ON_12M_index,E8)</f>
        <v>42676</v>
      </c>
      <c r="G8" s="62">
        <f>_xll.qlQuoteValue(D8,AllTriggers)</f>
        <v>1.98E-3</v>
      </c>
      <c r="H8" s="62">
        <f>_xll.qlIndexFixing(ON_12M_index,_xll.qlInterestRateIndexFixingDate(ON_12M_index,E8),,AllTriggers)</f>
        <v>-1.2636205914647561E-3</v>
      </c>
      <c r="I8" s="265">
        <f t="shared" si="3"/>
        <v>3.2436205914647561E-3</v>
      </c>
      <c r="J8" s="62">
        <f>_xll.qlTenorBasisValue($R$18,E8,Trigger)</f>
        <v>3.1913045405934449E-3</v>
      </c>
      <c r="K8" s="188">
        <f t="shared" si="4"/>
        <v>0.52316050871311237</v>
      </c>
      <c r="L8" s="234">
        <f t="shared" si="1"/>
        <v>5.2316050871311238E-5</v>
      </c>
      <c r="M8" s="206">
        <f>_xll.qlDayCounterYearFraction("actual/365 (fixed)",SettlementDate,E8,,,Trigger)</f>
        <v>0.33698630136986302</v>
      </c>
      <c r="N8" s="184">
        <f>_xll.qlYieldTSDiscount(Discounting,E8,,AllTriggers)</f>
        <v>1.0003991995510015</v>
      </c>
      <c r="O8" s="237" t="b">
        <v>1</v>
      </c>
      <c r="Q8" s="277" t="s">
        <v>128</v>
      </c>
      <c r="R8" s="282" t="str">
        <f>_xll.qlPolynomialCalibrationEndCriteria(R6,)</f>
        <v>None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42340</v>
      </c>
      <c r="F9" s="296">
        <f>_xll.qlInterestRateIndexMaturity(ON_12M_index,E9)</f>
        <v>42706</v>
      </c>
      <c r="G9" s="62">
        <f>_xll.qlQuoteValue(D9,AllTriggers)</f>
        <v>2.0099999999999996E-3</v>
      </c>
      <c r="H9" s="62">
        <f>_xll.qlIndexFixing(ON_12M_index,_xll.qlInterestRateIndexFixingDate(ON_12M_index,E9),,AllTriggers)</f>
        <v>-1.2506248378229021E-3</v>
      </c>
      <c r="I9" s="265">
        <f t="shared" si="3"/>
        <v>3.2606248378229015E-3</v>
      </c>
      <c r="J9" s="62">
        <f>_xll.qlTenorBasisValue($R$18,E9,Trigger)</f>
        <v>3.2485168876669962E-3</v>
      </c>
      <c r="K9" s="188">
        <f t="shared" si="4"/>
        <v>0.1210795015590526</v>
      </c>
      <c r="L9" s="234">
        <f t="shared" si="1"/>
        <v>1.210795015590526E-5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1.0005202631825545</v>
      </c>
      <c r="O9" s="237" t="b">
        <v>1</v>
      </c>
      <c r="Q9" s="277" t="s">
        <v>89</v>
      </c>
      <c r="R9" s="190">
        <f>_xll.qlPolynomialCalibrationError(R6,)</f>
        <v>5.0969513149513502E-5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42373</v>
      </c>
      <c r="F10" s="296">
        <f>_xll.qlInterestRateIndexMaturity(ON_12M_index,E10)</f>
        <v>42739</v>
      </c>
      <c r="G10" s="62">
        <f>_xll.qlQuoteValue(D10,AllTriggers)</f>
        <v>2.0600000000000002E-3</v>
      </c>
      <c r="H10" s="62">
        <f>_xll.qlIndexFixing(ON_12M_index,_xll.qlInterestRateIndexFixingDate(ON_12M_index,E10),,AllTriggers)</f>
        <v>-1.2008987154035165E-3</v>
      </c>
      <c r="I10" s="265">
        <f t="shared" si="3"/>
        <v>3.2608987154035167E-3</v>
      </c>
      <c r="J10" s="62">
        <f>_xll.qlTenorBasisValue($R$18,E10,Trigger)</f>
        <v>3.3125625593071503E-3</v>
      </c>
      <c r="K10" s="188">
        <f t="shared" si="4"/>
        <v>-0.51663843903633577</v>
      </c>
      <c r="L10" s="234">
        <f t="shared" si="1"/>
        <v>-5.1663843903633575E-5</v>
      </c>
      <c r="M10" s="206">
        <f>_xll.qlDayCounterYearFraction("actual/365 (fixed)",SettlementDate,E10,,,Trigger)</f>
        <v>0.50958904109589043</v>
      </c>
      <c r="N10" s="184">
        <f>_xll.qlYieldTSDiscount(Discounting,E10,,AllTriggers)</f>
        <v>1.0006397071275765</v>
      </c>
      <c r="O10" s="237" t="b">
        <v>1</v>
      </c>
      <c r="Q10" s="277" t="s">
        <v>124</v>
      </c>
      <c r="R10" s="190">
        <f>_xll.qlPolynomialCalibrationMaxError(R6,)</f>
        <v>9.7126201776926227E-5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42402</v>
      </c>
      <c r="F11" s="296">
        <f>_xll.qlInterestRateIndexMaturity(ON_12M_index,E11)</f>
        <v>42768</v>
      </c>
      <c r="G11" s="62">
        <f>_xll.qlQuoteValue(D11,AllTriggers)</f>
        <v>2.1400000000000004E-3</v>
      </c>
      <c r="H11" s="62">
        <f>_xll.qlIndexFixing(ON_12M_index,_xll.qlInterestRateIndexFixingDate(ON_12M_index,E11),,AllTriggers)</f>
        <v>-1.1692638169991656E-3</v>
      </c>
      <c r="I11" s="265">
        <f t="shared" si="3"/>
        <v>3.309263816999166E-3</v>
      </c>
      <c r="J11" s="62">
        <f>_xll.qlTenorBasisValue($R$18,E11,Trigger)</f>
        <v>3.3692387405371083E-3</v>
      </c>
      <c r="K11" s="188">
        <f t="shared" si="4"/>
        <v>-0.59974923537942271</v>
      </c>
      <c r="L11" s="234">
        <f t="shared" si="1"/>
        <v>-5.9974923537942267E-5</v>
      </c>
      <c r="M11" s="206">
        <f>_xll.qlDayCounterYearFraction("actual/365 (fixed)",SettlementDate,E11,,,Trigger)</f>
        <v>0.58904109589041098</v>
      </c>
      <c r="N11" s="184">
        <f>_xll.qlYieldTSDiscount(Discounting,E11,,AllTriggers)</f>
        <v>1.0007397711433703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42431</v>
      </c>
      <c r="F12" s="296">
        <f>_xll.qlInterestRateIndexMaturity(ON_12M_index,E12)</f>
        <v>42796</v>
      </c>
      <c r="G12" s="62">
        <f>_xll.qlQuoteValue(D12,AllTriggers)</f>
        <v>2.2599999999999999E-3</v>
      </c>
      <c r="H12" s="62">
        <f>_xll.qlIndexFixing(ON_12M_index,_xll.qlInterestRateIndexFixingDate(ON_12M_index,E12),,AllTriggers)</f>
        <v>-1.1177419228922377E-3</v>
      </c>
      <c r="I12" s="265">
        <f t="shared" si="3"/>
        <v>3.3777419228922375E-3</v>
      </c>
      <c r="J12" s="62">
        <f>_xll.qlTenorBasisValue($R$18,E12,Trigger)</f>
        <v>3.4257574234201203E-3</v>
      </c>
      <c r="K12" s="188">
        <f t="shared" si="4"/>
        <v>-0.48015500527882804</v>
      </c>
      <c r="L12" s="234">
        <f t="shared" si="1"/>
        <v>-4.8015500527882806E-5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1.0008439461579424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42464</v>
      </c>
      <c r="F13" s="296">
        <f>_xll.qlInterestRateIndexMaturity(ON_12M_index,E13)</f>
        <v>42829</v>
      </c>
      <c r="G13" s="62">
        <f>_xll.qlQuoteValue(D13,AllTriggers)</f>
        <v>2.4100000000000002E-3</v>
      </c>
      <c r="H13" s="62">
        <f>_xll.qlIndexFixing(ON_12M_index,_xll.qlInterestRateIndexFixingDate(ON_12M_index,E13),,AllTriggers)</f>
        <v>-1.0453340774028122E-3</v>
      </c>
      <c r="I13" s="265">
        <f t="shared" si="3"/>
        <v>3.4553340774028125E-3</v>
      </c>
      <c r="J13" s="62">
        <f>_xll.qlTenorBasisValue($R$18,E13,Trigger)</f>
        <v>3.4892407079783749E-3</v>
      </c>
      <c r="K13" s="188">
        <f t="shared" si="4"/>
        <v>-0.33906630575562469</v>
      </c>
      <c r="L13" s="234">
        <f t="shared" si="1"/>
        <v>-3.3906630575562466E-5</v>
      </c>
      <c r="M13" s="206">
        <f>_xll.qlDayCounterYearFraction("actual/365 (fixed)",SettlementDate,E13,,,Trigger)</f>
        <v>0.75890410958904109</v>
      </c>
      <c r="N13" s="184">
        <f>_xll.qlYieldTSDiscount(Discounting,E13,,AllTriggers)</f>
        <v>1.0009604518506312</v>
      </c>
      <c r="O13" s="237" t="b">
        <v>1</v>
      </c>
      <c r="Q13" s="277" t="s">
        <v>113</v>
      </c>
      <c r="R13" s="190">
        <f t="array" ref="R13:R17">_xll.qlPolynomialCalibrationCoefficients($R$6,R7)</f>
        <v>2.978823155624497E-3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42492</v>
      </c>
      <c r="F14" s="296">
        <f>_xll.qlInterestRateIndexMaturity(ON_12M_index,E14)</f>
        <v>42857</v>
      </c>
      <c r="G14" s="62">
        <f>_xll.qlQuoteValue(D14,AllTriggers)</f>
        <v>2.5600000000000002E-3</v>
      </c>
      <c r="H14" s="62">
        <f>_xll.qlIndexFixing(ON_12M_index,_xll.qlInterestRateIndexFixingDate(ON_12M_index,E14),,AllTriggers)</f>
        <v>-9.7856022967288928E-4</v>
      </c>
      <c r="I14" s="265">
        <f t="shared" si="0"/>
        <v>3.5385602296728897E-3</v>
      </c>
      <c r="J14" s="62">
        <f>_xll.qlTenorBasisValue($R$18,E14,Trigger)</f>
        <v>3.5418835440936022E-3</v>
      </c>
      <c r="K14" s="188">
        <f t="shared" si="4"/>
        <v>-3.3233144207125108E-2</v>
      </c>
      <c r="L14" s="234">
        <f t="shared" si="1"/>
        <v>-3.3233144207125108E-6</v>
      </c>
      <c r="M14" s="206">
        <f>_xll.qlDayCounterYearFraction("actual/365 (fixed)",SettlementDate,E14,,,Trigger)</f>
        <v>0.83561643835616439</v>
      </c>
      <c r="N14" s="184">
        <f>_xll.qlYieldTSDiscount(Discounting,E14,,AllTriggers)</f>
        <v>1.0010575836919455</v>
      </c>
      <c r="O14" s="237" t="b">
        <v>1</v>
      </c>
      <c r="Q14" s="277" t="s">
        <v>114</v>
      </c>
      <c r="R14" s="190">
        <v>5.5424479176371239E-4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42523</v>
      </c>
      <c r="F15" s="296">
        <f>_xll.qlInterestRateIndexMaturity(ON_12M_index,E15)</f>
        <v>42888</v>
      </c>
      <c r="G15" s="62">
        <f>_xll.qlQuoteValue(D15,AllTriggers)</f>
        <v>2.7300000000000002E-3</v>
      </c>
      <c r="H15" s="62">
        <f>_xll.qlIndexFixing(ON_12M_index,_xll.qlInterestRateIndexFixingDate(ON_12M_index,E15),,AllTriggers)</f>
        <v>-8.9263144370740032E-4</v>
      </c>
      <c r="I15" s="265">
        <f>G15-H15</f>
        <v>3.6226314437074005E-3</v>
      </c>
      <c r="J15" s="62">
        <f>_xll.qlTenorBasisValue($R$18,E15,Trigger)</f>
        <v>3.5982804081814914E-3</v>
      </c>
      <c r="K15" s="188">
        <f t="shared" si="4"/>
        <v>0.24351035525909184</v>
      </c>
      <c r="L15" s="234">
        <f t="shared" si="1"/>
        <v>2.4351035525909184E-5</v>
      </c>
      <c r="M15" s="206">
        <f>_xll.qlDayCounterYearFraction("actual/365 (fixed)",SettlementDate,E15,,,Trigger)</f>
        <v>0.92054794520547945</v>
      </c>
      <c r="N15" s="184">
        <f>_xll.qlYieldTSDiscount(Discounting,E15,,AllTriggers)</f>
        <v>1.0011679613090507</v>
      </c>
      <c r="O15" s="237" t="b">
        <v>1</v>
      </c>
      <c r="Q15" s="277" t="s">
        <v>115</v>
      </c>
      <c r="R15" s="190">
        <v>2.8267084129910243E-4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42555</v>
      </c>
      <c r="F16" s="296">
        <f>_xll.qlInterestRateIndexMaturity(ON_12M_index,E16)</f>
        <v>42920</v>
      </c>
      <c r="G16" s="62">
        <f>_xll.qlQuoteValue(D16,AllTriggers)</f>
        <v>2.9200000000000003E-3</v>
      </c>
      <c r="H16" s="62">
        <f>_xll.qlIndexFixing(ON_12M_index,_xll.qlInterestRateIndexFixingDate(ON_12M_index,E16),,AllTriggers)</f>
        <v>-7.9387155398455466E-4</v>
      </c>
      <c r="I16" s="265">
        <f>G16-H16</f>
        <v>3.7138715539845549E-3</v>
      </c>
      <c r="J16" s="62">
        <f>_xll.qlTenorBasisValue($R$18,E16,Trigger)</f>
        <v>3.6537872745387558E-3</v>
      </c>
      <c r="K16" s="188">
        <f t="shared" si="4"/>
        <v>0.60084279445799149</v>
      </c>
      <c r="L16" s="234">
        <f t="shared" si="1"/>
        <v>6.0084279445799145E-5</v>
      </c>
      <c r="M16" s="206">
        <f>_xll.qlDayCounterYearFraction("actual/365 (fixed)",SettlementDate,E16,,,Trigger)</f>
        <v>1.0082191780821919</v>
      </c>
      <c r="N16" s="184">
        <f>_xll.qlYieldTSDiscount(Discounting,E16,,AllTriggers)</f>
        <v>1.0012770222704872</v>
      </c>
      <c r="O16" s="237" t="b">
        <v>1</v>
      </c>
      <c r="Q16" s="277" t="s">
        <v>116</v>
      </c>
      <c r="R16" s="190">
        <v>-1.6702043654469469E-4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42919</v>
      </c>
      <c r="F17" s="297">
        <f>_xll.qlInterestRateIndexMaturity(ON_12M_index,E17)</f>
        <v>43284</v>
      </c>
      <c r="G17" s="65">
        <f>_xll.qlQuoteValue(D17,AllTriggers)</f>
        <v>5.1800000000000006E-3</v>
      </c>
      <c r="H17" s="65">
        <f>_xll.qlIndexFixing(ON_12M_index,_xll.qlInterestRateIndexFixingDate(ON_12M_index,E17),,AllTriggers)</f>
        <v>1.3041892097092939E-3</v>
      </c>
      <c r="I17" s="260">
        <f>G17-H17</f>
        <v>3.8758107902907065E-3</v>
      </c>
      <c r="J17" s="65">
        <f>_xll.qlTenorBasisValue($R$18,E17,Trigger)</f>
        <v>3.8800613007700241E-3</v>
      </c>
      <c r="K17" s="189">
        <f t="shared" ref="K17" si="7">L17*10000</f>
        <v>-4.2505104793175846E-2</v>
      </c>
      <c r="L17" s="235">
        <f t="shared" ref="L17" si="8">I17-J17</f>
        <v>-4.2505104793175846E-6</v>
      </c>
      <c r="M17" s="207">
        <f>_xll.qlDayCounterYearFraction("actual/365 (fixed)",SettlementDate,E17,,,Trigger)</f>
        <v>2.0054794520547947</v>
      </c>
      <c r="N17" s="185">
        <f>_xll.qlYieldTSDiscount(Discounting,E17,,AllTriggers)</f>
        <v>1.0020836047762316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obj_005e0#0000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42187</v>
      </c>
      <c r="H20" s="269">
        <f>_xll.qlCalendarAdvance(Calendar,SettlementDate,F20,"Following",,Trigger)</f>
        <v>42188</v>
      </c>
      <c r="I20" s="287">
        <f>_xll.qlTenorBasisForwardRate2(TenorBasis12M,G20,H20,AllTriggers)</f>
        <v>1.4974025447589412E-3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42187</v>
      </c>
      <c r="H21" s="271">
        <f>_xll.qlCalendarAdvance(Calendar,SettlementDate,F21,"Following",,Trigger)</f>
        <v>42194</v>
      </c>
      <c r="I21" s="288">
        <f>_xll.qlTenorBasisForwardRate2(TenorBasis12M,G21,H21,AllTriggers)</f>
        <v>1.4989280131162883E-3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42187</v>
      </c>
      <c r="H22" s="271">
        <f>_xll.qlCalendarAdvance(Calendar,SettlementDate,F22,"Following",,Trigger)</f>
        <v>42201</v>
      </c>
      <c r="I22" s="288">
        <f>_xll.qlTenorBasisForwardRate2(TenorBasis12M,G22,H22,AllTriggers)</f>
        <v>1.500812891021473E-3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42187</v>
      </c>
      <c r="H23" s="271">
        <f>_xll.qlCalendarAdvance(Calendar,SettlementDate,F23,"Following",,Trigger)</f>
        <v>42208</v>
      </c>
      <c r="I23" s="288">
        <f>_xll.qlTenorBasisForwardRate2(TenorBasis12M,G23,H23,AllTriggers)</f>
        <v>1.5028246946651486E-3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42187</v>
      </c>
      <c r="H24" s="273">
        <f>_xll.qlCalendarAdvance(Calendar,SettlementDate,F24,"mf",TRUE,Trigger)</f>
        <v>42219</v>
      </c>
      <c r="I24" s="289">
        <f>_xll.qlTenorBasisForwardRate2(TenorBasis12M,G24,H24,AllTriggers)</f>
        <v>1.5052680233473836E-3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42187</v>
      </c>
      <c r="H25" s="271">
        <f>_xll.qlCalendarAdvance(Calendar,SettlementDate,F25,"mf",TRUE,Trigger)</f>
        <v>42249</v>
      </c>
      <c r="I25" s="288">
        <f>_xll.qlTenorBasisForwardRate2(TenorBasis12M,G25,H25,AllTriggers)</f>
        <v>1.5332441280138038E-3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42187</v>
      </c>
      <c r="H26" s="271">
        <f>_xll.qlCalendarAdvance(Calendar,SettlementDate,F26,"mf",TRUE,Trigger)</f>
        <v>42279</v>
      </c>
      <c r="I26" s="288">
        <f>_xll.qlTenorBasisForwardRate2(TenorBasis12M,G26,H26,AllTriggers)</f>
        <v>1.5440442796775956E-3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42187</v>
      </c>
      <c r="H27" s="271">
        <f>_xll.qlCalendarAdvance(Calendar,SettlementDate,F27,"mf",TRUE,Trigger)</f>
        <v>42310</v>
      </c>
      <c r="I27" s="288">
        <f>_xll.qlTenorBasisForwardRate2(TenorBasis12M,G27,H27,AllTriggers)</f>
        <v>1.6054669927649161E-3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42187</v>
      </c>
      <c r="H28" s="271">
        <f>_xll.qlCalendarAdvance(Calendar,SettlementDate,F28,"mf",TRUE,Trigger)</f>
        <v>42340</v>
      </c>
      <c r="I28" s="288">
        <f>_xll.qlTenorBasisForwardRate2(TenorBasis12M,G28,H28,AllTriggers)</f>
        <v>1.563131601399824E-3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42187</v>
      </c>
      <c r="H29" s="271">
        <f>_xll.qlCalendarAdvance(Calendar,SettlementDate,F29,"mf",TRUE,Trigger)</f>
        <v>42373</v>
      </c>
      <c r="I29" s="288">
        <f>_xll.qlTenorBasisForwardRate2(TenorBasis12M,G29,H29,AllTriggers)</f>
        <v>1.5671738365460426E-3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42187</v>
      </c>
      <c r="H30" s="270">
        <f>_xll.qlCalendarAdvance(Calendar,SettlementDate,F30,"mf",TRUE,Trigger)</f>
        <v>42402</v>
      </c>
      <c r="I30" s="288">
        <f>_xll.qlTenorBasisTenorForwardRate(TenorBasis12M,G30,AllTriggers)</f>
        <v>1.7371262017769262E-3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42187</v>
      </c>
      <c r="H31" s="270">
        <f>_xll.qlCalendarAdvance(Calendar,SettlementDate,F31,"mf",TRUE,Trigger)</f>
        <v>42431</v>
      </c>
      <c r="I31" s="288">
        <f>_xll.qlTenorBasisTenorForwardRate(TenorBasis12M,G31,AllTriggers)</f>
        <v>1.7371262017769262E-3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42187</v>
      </c>
      <c r="H32" s="270">
        <f>_xll.qlCalendarAdvance(Calendar,SettlementDate,F32,"mf",TRUE,Trigger)</f>
        <v>42464</v>
      </c>
      <c r="I32" s="288">
        <f>_xll.qlTenorBasisTenorForwardRate(TenorBasis12M,G32,AllTriggers)</f>
        <v>1.7371262017769262E-3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42187</v>
      </c>
      <c r="H33" s="270">
        <f>_xll.qlCalendarAdvance(Calendar,SettlementDate,F33,"mf",TRUE,Trigger)</f>
        <v>42492</v>
      </c>
      <c r="I33" s="288">
        <f>_xll.qlTenorBasisTenorForwardRate(TenorBasis12M,G33,AllTriggers)</f>
        <v>1.7371262017769262E-3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42187</v>
      </c>
      <c r="H34" s="270">
        <f>_xll.qlCalendarAdvance(Calendar,SettlementDate,F34,"mf",TRUE,Trigger)</f>
        <v>42523</v>
      </c>
      <c r="I34" s="288">
        <f>_xll.qlTenorBasisTenorForwardRate(TenorBasis12M,G34,AllTriggers)</f>
        <v>1.7371262017769262E-3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42187</v>
      </c>
      <c r="H35" s="294">
        <f>_xll.qlCalendarAdvance(Calendar,SettlementDate,F35,"mf",TRUE,Trigger)</f>
        <v>42555</v>
      </c>
      <c r="I35" s="291">
        <f>_xll.qlTenorBasisTenorForwardRate(TenorBasis12M,G35,AllTriggers)</f>
        <v>1.7371262017769262E-3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42185</v>
      </c>
      <c r="C3" s="74">
        <f>_xll.qlCalendarAdvance(Calendar,SettlementDate,A3&amp;"M","mf")</f>
        <v>42187</v>
      </c>
      <c r="D3" s="74">
        <f>_xll.qlInterestRateIndexMaturity(ON_12M_index,C3)</f>
        <v>42555</v>
      </c>
      <c r="E3" s="75">
        <f>_xll.qlIndexFixing(ON_12M_index,B3,,AllTriggers)</f>
        <v>-1.2416969538475708E-3</v>
      </c>
      <c r="F3" s="76">
        <f>_xll.qlInterpolationInterpolate(BasisInterpolator,C3,TRUE,E3)</f>
        <v>3.015968085248311E-3</v>
      </c>
      <c r="G3" s="75">
        <f t="shared" ref="G3:G27" si="0">E3+F3</f>
        <v>1.7742711314007401E-3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42215</v>
      </c>
      <c r="C4" s="78">
        <f>_xll.qlCalendarAdvance(Calendar,SettlementDate,A4&amp;"M","mf")</f>
        <v>42219</v>
      </c>
      <c r="D4" s="78">
        <f>_xll.qlInterestRateIndexMaturity(ON_12M_index,C4)</f>
        <v>42585</v>
      </c>
      <c r="E4" s="79">
        <f>_xll.qlIndexFixing(ON_12M_index,B4,,AllTriggers)</f>
        <v>-1.2377850736445799E-3</v>
      </c>
      <c r="F4" s="80">
        <f>_xll.qlInterpolationInterpolate(BasisInterpolator,C4,TRUE,E4)</f>
        <v>3.07778507364458E-3</v>
      </c>
      <c r="G4" s="79">
        <f t="shared" si="0"/>
        <v>1.8400000000000001E-3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42247</v>
      </c>
      <c r="C5" s="78">
        <f>_xll.qlCalendarAdvance(Calendar,SettlementDate,A5&amp;"M","mf")</f>
        <v>42249</v>
      </c>
      <c r="D5" s="78">
        <f>_xll.qlInterestRateIndexMaturity(ON_12M_index,C5)</f>
        <v>42615</v>
      </c>
      <c r="E5" s="79">
        <f>_xll.qlIndexFixing(ON_12M_index,B5,,AllTriggers)</f>
        <v>-1.236674190607109E-3</v>
      </c>
      <c r="F5" s="80">
        <f>_xll.qlInterpolationInterpolate(BasisInterpolator,C5,TRUE,E5)</f>
        <v>3.136674190607109E-3</v>
      </c>
      <c r="G5" s="79">
        <f t="shared" si="0"/>
        <v>1.9E-3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42277</v>
      </c>
      <c r="C6" s="78">
        <f>_xll.qlCalendarAdvance(Calendar,SettlementDate,A6&amp;"M","mf")</f>
        <v>42279</v>
      </c>
      <c r="D6" s="78">
        <f>_xll.qlInterestRateIndexMaturity(ON_12M_index,C6)</f>
        <v>42646</v>
      </c>
      <c r="E6" s="79">
        <f>_xll.qlIndexFixing(ON_12M_index,B6,,AllTriggers)</f>
        <v>-1.2385301504790145E-3</v>
      </c>
      <c r="F6" s="80">
        <f>_xll.qlInterpolationInterpolate(BasisInterpolator,C6,TRUE,E6)</f>
        <v>3.1785301504790144E-3</v>
      </c>
      <c r="G6" s="79">
        <f t="shared" si="0"/>
        <v>1.9399999999999999E-3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42306</v>
      </c>
      <c r="C7" s="78">
        <f>_xll.qlCalendarAdvance(Calendar,SettlementDate,A7&amp;"M","mf")</f>
        <v>42310</v>
      </c>
      <c r="D7" s="78">
        <f>_xll.qlInterestRateIndexMaturity(ON_12M_index,C7)</f>
        <v>42676</v>
      </c>
      <c r="E7" s="79">
        <f>_xll.qlIndexFixing(ON_12M_index,B7,,AllTriggers)</f>
        <v>-1.2636205914647561E-3</v>
      </c>
      <c r="F7" s="80">
        <f>_xll.qlInterpolationInterpolate(BasisInterpolator,C7,TRUE,E7)</f>
        <v>3.2436205914647561E-3</v>
      </c>
      <c r="G7" s="79">
        <f t="shared" si="0"/>
        <v>1.98E-3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42338</v>
      </c>
      <c r="C8" s="78">
        <f>_xll.qlCalendarAdvance(Calendar,SettlementDate,A8&amp;"M","mf")</f>
        <v>42340</v>
      </c>
      <c r="D8" s="78">
        <f>_xll.qlInterestRateIndexMaturity(ON_12M_index,C8)</f>
        <v>42706</v>
      </c>
      <c r="E8" s="79">
        <f>_xll.qlIndexFixing(ON_12M_index,B8,,AllTriggers)</f>
        <v>-1.2506248378229021E-3</v>
      </c>
      <c r="F8" s="80">
        <f>_xll.qlInterpolationInterpolate(BasisInterpolator,C8,TRUE,E8)</f>
        <v>3.2606248378229015E-3</v>
      </c>
      <c r="G8" s="79">
        <f t="shared" si="0"/>
        <v>2.0099999999999996E-3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42368</v>
      </c>
      <c r="C9" s="78">
        <f>_xll.qlCalendarAdvance(Calendar,SettlementDate,A9&amp;"M","mf")</f>
        <v>42373</v>
      </c>
      <c r="D9" s="78">
        <f>_xll.qlInterestRateIndexMaturity(ON_12M_index,C9)</f>
        <v>42739</v>
      </c>
      <c r="E9" s="79">
        <f>_xll.qlIndexFixing(ON_12M_index,B9,,AllTriggers)</f>
        <v>-1.2008987154035165E-3</v>
      </c>
      <c r="F9" s="80">
        <f>_xll.qlInterpolationInterpolate(BasisInterpolator,C9,TRUE,E9)</f>
        <v>3.2608987154035167E-3</v>
      </c>
      <c r="G9" s="79">
        <f t="shared" si="0"/>
        <v>2.0600000000000002E-3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42398</v>
      </c>
      <c r="C10" s="78">
        <f>_xll.qlCalendarAdvance(Calendar,SettlementDate,A10&amp;"M","mf")</f>
        <v>42402</v>
      </c>
      <c r="D10" s="78">
        <f>_xll.qlInterestRateIndexMaturity(ON_12M_index,C10)</f>
        <v>42768</v>
      </c>
      <c r="E10" s="79">
        <f>_xll.qlIndexFixing(ON_12M_index,B10,,AllTriggers)</f>
        <v>-1.1692638169991656E-3</v>
      </c>
      <c r="F10" s="80">
        <f>_xll.qlInterpolationInterpolate(BasisInterpolator,C10,TRUE,E10)</f>
        <v>3.309263816999166E-3</v>
      </c>
      <c r="G10" s="79">
        <f t="shared" si="0"/>
        <v>2.1400000000000004E-3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42429</v>
      </c>
      <c r="C11" s="78">
        <f>_xll.qlCalendarAdvance(Calendar,SettlementDate,A11&amp;"M","mf")</f>
        <v>42431</v>
      </c>
      <c r="D11" s="78">
        <f>_xll.qlInterestRateIndexMaturity(ON_12M_index,C11)</f>
        <v>42796</v>
      </c>
      <c r="E11" s="79">
        <f>_xll.qlIndexFixing(ON_12M_index,B11,,AllTriggers)</f>
        <v>-1.1177419228922377E-3</v>
      </c>
      <c r="F11" s="80">
        <f>_xll.qlInterpolationInterpolate(BasisInterpolator,C11,TRUE,E11)</f>
        <v>3.3777419228922375E-3</v>
      </c>
      <c r="G11" s="79">
        <f t="shared" si="0"/>
        <v>2.2599999999999999E-3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42460</v>
      </c>
      <c r="C12" s="78">
        <f>_xll.qlCalendarAdvance(Calendar,SettlementDate,A12&amp;"M","mf")</f>
        <v>42464</v>
      </c>
      <c r="D12" s="78">
        <f>_xll.qlInterestRateIndexMaturity(ON_12M_index,C12)</f>
        <v>42829</v>
      </c>
      <c r="E12" s="79">
        <f>_xll.qlIndexFixing(ON_12M_index,B12,,AllTriggers)</f>
        <v>-1.0453340774028122E-3</v>
      </c>
      <c r="F12" s="80">
        <f>_xll.qlInterpolationInterpolate(BasisInterpolator,C12,TRUE,E12)</f>
        <v>3.4553340774028125E-3</v>
      </c>
      <c r="G12" s="79">
        <f t="shared" si="0"/>
        <v>2.4100000000000002E-3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42488</v>
      </c>
      <c r="C13" s="78">
        <f>_xll.qlCalendarAdvance(Calendar,SettlementDate,A13&amp;"M","mf")</f>
        <v>42492</v>
      </c>
      <c r="D13" s="78">
        <f>_xll.qlInterestRateIndexMaturity(ON_12M_index,C13)</f>
        <v>42857</v>
      </c>
      <c r="E13" s="79">
        <f>_xll.qlIndexFixing(ON_12M_index,B13,,AllTriggers)</f>
        <v>-9.7856022967288928E-4</v>
      </c>
      <c r="F13" s="80">
        <f>_xll.qlInterpolationInterpolate(BasisInterpolator,C13,TRUE,E13)</f>
        <v>3.5385602296728897E-3</v>
      </c>
      <c r="G13" s="79">
        <f t="shared" si="0"/>
        <v>2.5600000000000006E-3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42521</v>
      </c>
      <c r="C14" s="82">
        <f>_xll.qlCalendarAdvance(Calendar,SettlementDate,A14&amp;"M","mf")</f>
        <v>42523</v>
      </c>
      <c r="D14" s="82">
        <f>_xll.qlInterestRateIndexMaturity(ON_12M_index,C14)</f>
        <v>42888</v>
      </c>
      <c r="E14" s="83">
        <f>_xll.qlIndexFixing(ON_12M_index,B14,,AllTriggers)</f>
        <v>-8.9263144370740032E-4</v>
      </c>
      <c r="F14" s="84">
        <f>_xll.qlInterpolationInterpolate(BasisInterpolator,C14,TRUE,E14)</f>
        <v>3.6226314437074005E-3</v>
      </c>
      <c r="G14" s="83">
        <f t="shared" si="0"/>
        <v>2.7300000000000002E-3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42551</v>
      </c>
      <c r="C15" s="74">
        <f>_xll.qlCalendarAdvance(Calendar,SettlementDate,A15&amp;"M","mf")</f>
        <v>42555</v>
      </c>
      <c r="D15" s="74">
        <f>_xll.qlInterestRateIndexMaturity(ON_12M_index,C15)</f>
        <v>42920</v>
      </c>
      <c r="E15" s="75">
        <f>_xll.qlIndexFixing(ON_12M_index,B15,,AllTriggers)</f>
        <v>-7.9387155398455466E-4</v>
      </c>
      <c r="F15" s="76">
        <f>_xll.qlInterpolationInterpolate(BasisInterpolator,C15,TRUE,E15)</f>
        <v>3.7138715539845549E-3</v>
      </c>
      <c r="G15" s="75">
        <f t="shared" si="0"/>
        <v>2.9200000000000003E-3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42580</v>
      </c>
      <c r="C16" s="78">
        <f>_xll.qlCalendarAdvance(Calendar,SettlementDate,A16&amp;"M","mf")</f>
        <v>42584</v>
      </c>
      <c r="D16" s="78">
        <f>_xll.qlInterestRateIndexMaturity(ON_12M_index,C16)</f>
        <v>42949</v>
      </c>
      <c r="E16" s="79">
        <f>_xll.qlIndexFixing(ON_12M_index,B16,,AllTriggers)</f>
        <v>-6.9455458950847806E-4</v>
      </c>
      <c r="F16" s="80">
        <f>_xll.qlInterpolationInterpolate(BasisInterpolator,C16,TRUE,E16)</f>
        <v>3.7495750425114789E-3</v>
      </c>
      <c r="G16" s="79">
        <f t="shared" si="0"/>
        <v>3.0550204530030009E-3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42613</v>
      </c>
      <c r="C17" s="78">
        <f>_xll.qlCalendarAdvance(Calendar,SettlementDate,A17&amp;"M","mf")</f>
        <v>42615</v>
      </c>
      <c r="D17" s="78">
        <f>_xll.qlInterestRateIndexMaturity(ON_12M_index,C17)</f>
        <v>42982</v>
      </c>
      <c r="E17" s="79">
        <f>_xll.qlIndexFixing(ON_12M_index,B17,,AllTriggers)</f>
        <v>-5.678290078259112E-4</v>
      </c>
      <c r="F17" s="80">
        <f>_xll.qlInterpolationInterpolate(BasisInterpolator,C17,TRUE,E17)</f>
        <v>3.7814766954320546E-3</v>
      </c>
      <c r="G17" s="79">
        <f t="shared" si="0"/>
        <v>3.2136476876061435E-3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42642</v>
      </c>
      <c r="C18" s="78">
        <f>_xll.qlCalendarAdvance(Calendar,SettlementDate,A18&amp;"M","mf")</f>
        <v>42646</v>
      </c>
      <c r="D18" s="78">
        <f>_xll.qlInterestRateIndexMaturity(ON_12M_index,C18)</f>
        <v>43011</v>
      </c>
      <c r="E18" s="79">
        <f>_xll.qlIndexFixing(ON_12M_index,B18,,AllTriggers)</f>
        <v>-4.292937383808644E-4</v>
      </c>
      <c r="F18" s="80">
        <f>_xll.qlInterpolationInterpolate(BasisInterpolator,C18,TRUE,E18)</f>
        <v>3.8074926749740489E-3</v>
      </c>
      <c r="G18" s="79">
        <f t="shared" si="0"/>
        <v>3.3781989365931843E-3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42674</v>
      </c>
      <c r="C19" s="78">
        <f>_xll.qlCalendarAdvance(Calendar,SettlementDate,A19&amp;"M","mf")</f>
        <v>42676</v>
      </c>
      <c r="D19" s="78">
        <f>_xll.qlInterestRateIndexMaturity(ON_12M_index,C19)</f>
        <v>43041</v>
      </c>
      <c r="E19" s="79">
        <f>_xll.qlIndexFixing(ON_12M_index,B19,,AllTriggers)</f>
        <v>-2.6591085293111854E-4</v>
      </c>
      <c r="F19" s="80">
        <f>_xll.qlInterpolationInterpolate(BasisInterpolator,C19,TRUE,E19)</f>
        <v>3.8276307946141213E-3</v>
      </c>
      <c r="G19" s="79">
        <f t="shared" si="0"/>
        <v>3.5617199416830029E-3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42704</v>
      </c>
      <c r="C20" s="78">
        <f>_xll.qlCalendarAdvance(Calendar,SettlementDate,A20&amp;"M","mf")</f>
        <v>42706</v>
      </c>
      <c r="D20" s="78">
        <f>_xll.qlInterestRateIndexMaturity(ON_12M_index,C20)</f>
        <v>43073</v>
      </c>
      <c r="E20" s="79">
        <f>_xll.qlIndexFixing(ON_12M_index,B20,,AllTriggers)</f>
        <v>-8.0537703956348066E-5</v>
      </c>
      <c r="F20" s="80">
        <f>_xll.qlInterpolationInterpolate(BasisInterpolator,C20,TRUE,E20)</f>
        <v>3.8433628789842733E-3</v>
      </c>
      <c r="G20" s="79">
        <f t="shared" si="0"/>
        <v>3.7628251750279253E-3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42733</v>
      </c>
      <c r="C21" s="78">
        <f>_xll.qlCalendarAdvance(Calendar,SettlementDate,A21&amp;"M","mf")</f>
        <v>42737</v>
      </c>
      <c r="D21" s="78">
        <f>_xll.qlInterestRateIndexMaturity(ON_12M_index,C21)</f>
        <v>43102</v>
      </c>
      <c r="E21" s="79">
        <f>_xll.qlIndexFixing(ON_12M_index,B21,,AllTriggers)</f>
        <v>7.0956961254424111E-5</v>
      </c>
      <c r="F21" s="80">
        <f>_xll.qlInterpolationInterpolate(BasisInterpolator,C21,TRUE,E21)</f>
        <v>3.8555683857524376E-3</v>
      </c>
      <c r="G21" s="79">
        <f t="shared" si="0"/>
        <v>3.9265253470068618E-3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42766</v>
      </c>
      <c r="C22" s="78">
        <f>_xll.qlCalendarAdvance(Calendar,SettlementDate,A22&amp;"M","mf")</f>
        <v>42768</v>
      </c>
      <c r="D22" s="78">
        <f>_xll.qlInterestRateIndexMaturity(ON_12M_index,C22)</f>
        <v>43133</v>
      </c>
      <c r="E22" s="79">
        <f>_xll.qlIndexFixing(ON_12M_index,B22,,AllTriggers)</f>
        <v>2.590749990711667E-4</v>
      </c>
      <c r="F22" s="80">
        <f>_xll.qlInterpolationInterpolate(BasisInterpolator,C22,TRUE,E22)</f>
        <v>3.8642502328005302E-3</v>
      </c>
      <c r="G22" s="79">
        <f t="shared" si="0"/>
        <v>4.1233252318716969E-3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42794</v>
      </c>
      <c r="C23" s="78">
        <f>_xll.qlCalendarAdvance(Calendar,SettlementDate,A23&amp;"M","mf")</f>
        <v>42796</v>
      </c>
      <c r="D23" s="78">
        <f>_xll.qlInterestRateIndexMaturity(ON_12M_index,C23)</f>
        <v>43161</v>
      </c>
      <c r="E23" s="79">
        <f>_xll.qlIndexFixing(ON_12M_index,B23,,AllTriggers)</f>
        <v>4.3031273448644169E-4</v>
      </c>
      <c r="F23" s="80">
        <f>_xll.qlInterpolationInterpolate(BasisInterpolator,C23,TRUE,E23)</f>
        <v>3.8695624701911547E-3</v>
      </c>
      <c r="G23" s="79">
        <f t="shared" si="0"/>
        <v>4.2998752046775959E-3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42824</v>
      </c>
      <c r="C24" s="78">
        <f>_xll.qlCalendarAdvance(Calendar,SettlementDate,A24&amp;"M","mf")</f>
        <v>42828</v>
      </c>
      <c r="D24" s="78">
        <f>_xll.qlInterestRateIndexMaturity(ON_12M_index,C24)</f>
        <v>43193</v>
      </c>
      <c r="E24" s="79">
        <f>_xll.qlIndexFixing(ON_12M_index,B24,,AllTriggers)</f>
        <v>6.3521790903374778E-4</v>
      </c>
      <c r="F24" s="80">
        <f>_xll.qlInterpolationInterpolate(BasisInterpolator,C24,TRUE,E24)</f>
        <v>3.8732804897234231E-3</v>
      </c>
      <c r="G24" s="79">
        <f t="shared" si="0"/>
        <v>4.5084983987571711E-3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42852</v>
      </c>
      <c r="C25" s="78">
        <f>_xll.qlCalendarAdvance(Calendar,SettlementDate,A25&amp;"M","mf")</f>
        <v>42857</v>
      </c>
      <c r="D25" s="78">
        <f>_xll.qlInterestRateIndexMaturity(ON_12M_index,C25)</f>
        <v>43222</v>
      </c>
      <c r="E25" s="79">
        <f>_xll.qlIndexFixing(ON_12M_index,B25,,AllTriggers)</f>
        <v>8.354185619303435E-4</v>
      </c>
      <c r="F25" s="80">
        <f>_xll.qlInterpolationInterpolate(BasisInterpolator,C25,TRUE,E25)</f>
        <v>3.8750105452260747E-3</v>
      </c>
      <c r="G25" s="79">
        <f t="shared" si="0"/>
        <v>4.7104291071564178E-3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42886</v>
      </c>
      <c r="C26" s="82">
        <f>_xll.qlCalendarAdvance(Calendar,SettlementDate,A26&amp;"M","mf")</f>
        <v>42888</v>
      </c>
      <c r="D26" s="82">
        <f>_xll.qlInterestRateIndexMaturity(ON_12M_index,C26)</f>
        <v>43255</v>
      </c>
      <c r="E26" s="83">
        <f>_xll.qlIndexFixing(ON_12M_index,B26,,AllTriggers)</f>
        <v>1.0722974285038605E-3</v>
      </c>
      <c r="F26" s="84">
        <f>_xll.qlInterpolationInterpolate(BasisInterpolator,C26,TRUE,E26)</f>
        <v>3.8757107596576277E-3</v>
      </c>
      <c r="G26" s="83">
        <f t="shared" si="0"/>
        <v>4.9480081881614884E-3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42915</v>
      </c>
      <c r="C27" s="340">
        <f>_xll.qlCalendarAdvance(Calendar,SettlementDate,A27&amp;"M","mf")</f>
        <v>42919</v>
      </c>
      <c r="D27" s="340">
        <f>_xll.qlInterestRateIndexMaturity(ON_12M_index,C27)</f>
        <v>43284</v>
      </c>
      <c r="E27" s="341">
        <f>_xll.qlIndexFixing(ON_12M_index,B27,,AllTriggers)</f>
        <v>1.3041892097092939E-3</v>
      </c>
      <c r="F27" s="342">
        <f>_xll.qlInterpolationInterpolate(BasisInterpolator,C27,TRUE,E27)</f>
        <v>3.8758107902907065E-3</v>
      </c>
      <c r="G27" s="341">
        <f t="shared" si="0"/>
        <v>5.1800000000000006E-3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G2" sqref="G2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4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-4.9809020803870396E-4</v>
      </c>
      <c r="I3" s="15" t="s">
        <v>56</v>
      </c>
      <c r="J3" s="132">
        <v>-4.9809020803870396E-4</v>
      </c>
      <c r="K3" s="14"/>
      <c r="L3" s="120">
        <f>QuoteLive</f>
        <v>-4.9809020803870396E-4</v>
      </c>
      <c r="M3" s="121">
        <f>_xll.qlSimpleQuoteSetValue(D3,ROUND($L3,6),EvaluationDate)</f>
        <v>0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-5.4115096447355474E-4</v>
      </c>
      <c r="I4" s="15" t="s">
        <v>56</v>
      </c>
      <c r="J4" s="132">
        <v>-5.4115096447355474E-4</v>
      </c>
      <c r="K4" s="14"/>
      <c r="L4" s="120">
        <f>QuoteLive</f>
        <v>-5.4115096447355474E-4</v>
      </c>
      <c r="M4" s="121">
        <f>_xll.qlSimpleQuoteSetValue(D4,ROUND($L4,6),EvaluationDate)</f>
        <v>0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-5.8180166924159948E-4</v>
      </c>
      <c r="I5" s="15" t="s">
        <v>56</v>
      </c>
      <c r="J5" s="132">
        <v>-5.8180166924159948E-4</v>
      </c>
      <c r="K5" s="14"/>
      <c r="L5" s="120">
        <f>QuoteLive</f>
        <v>-5.8180166924159948E-4</v>
      </c>
      <c r="M5" s="121">
        <f>_xll.qlSimpleQuoteSetValue(D5,ROUND($L5,6),EvaluationDate)</f>
        <v>0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-6.1310894435300564E-4</v>
      </c>
      <c r="I6" s="15" t="s">
        <v>56</v>
      </c>
      <c r="J6" s="133">
        <v>-6.1310894435300564E-4</v>
      </c>
      <c r="K6" s="14"/>
      <c r="L6" s="122">
        <f>QuoteLive</f>
        <v>-6.1310894435300564E-4</v>
      </c>
      <c r="M6" s="123">
        <f>_xll.qlSimpleQuoteSetValue(D6,ROUND($L6,6),EvaluationDate)</f>
        <v>0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-6.4691462326391114E-4</v>
      </c>
      <c r="I7" s="15" t="s">
        <v>56</v>
      </c>
      <c r="J7" s="134">
        <v>-6.4691462326391114E-4</v>
      </c>
      <c r="K7" s="14"/>
      <c r="L7" s="124">
        <f>QuoteLive</f>
        <v>-6.4691462326391114E-4</v>
      </c>
      <c r="M7" s="125">
        <f>_xll.qlSimpleQuoteSetValue(D7,ROUND($L7,6),EvaluationDate)</f>
        <v>0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-4.8710257107842381E-4</v>
      </c>
      <c r="I8" s="17"/>
      <c r="J8" s="132">
        <v>-4.3219610182720913E-4</v>
      </c>
      <c r="K8" s="16"/>
      <c r="L8" s="120">
        <f>QuoteLive</f>
        <v>-4.8710257107842381E-4</v>
      </c>
      <c r="M8" s="121">
        <f>_xll.qlSimpleQuoteSetValue(D8,ROUND($L8,6),EvaluationDate)</f>
        <v>0</v>
      </c>
      <c r="N8" s="108">
        <f>_xll.ohTrigger(M8:M14)</f>
        <v>6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-4.5882414142336562E-4</v>
      </c>
      <c r="I9" s="17"/>
      <c r="J9" s="132">
        <v>-4.068780702702414E-4</v>
      </c>
      <c r="K9" s="16"/>
      <c r="L9" s="120">
        <f>QuoteLive</f>
        <v>-4.5882414142336562E-4</v>
      </c>
      <c r="M9" s="121">
        <f>_xll.qlSimpleQuoteSetValue(D9,ROUND($L9,6),EvaluationDate)</f>
        <v>0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-4.2711533191384731E-4</v>
      </c>
      <c r="I10" s="17"/>
      <c r="J10" s="132">
        <v>-3.7845748183900393E-4</v>
      </c>
      <c r="K10" s="16"/>
      <c r="L10" s="120">
        <f>QuoteLive</f>
        <v>-4.2711533191384731E-4</v>
      </c>
      <c r="M10" s="121">
        <f>_xll.qlSimpleQuoteSetValue(D10,ROUND($L10,6),EvaluationDate)</f>
        <v>0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-3.9673590162246441E-4</v>
      </c>
      <c r="I11" s="17"/>
      <c r="J11" s="133">
        <v>-3.5119344143083202E-4</v>
      </c>
      <c r="K11" s="16"/>
      <c r="L11" s="122">
        <f>QuoteLive</f>
        <v>-3.9673590162246441E-4</v>
      </c>
      <c r="M11" s="123">
        <f>_xll.qlSimpleQuoteSetValue(D11,ROUND($L11,6),EvaluationDate)</f>
        <v>0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-3.4456966942583711E-4</v>
      </c>
      <c r="I12" s="17"/>
      <c r="J12" s="132">
        <v>-3.0358723576665025E-4</v>
      </c>
      <c r="K12" s="16"/>
      <c r="L12" s="120">
        <f>QuoteLive</f>
        <v>-3.4456966942583711E-4</v>
      </c>
      <c r="M12" s="121">
        <f>_xll.qlSimpleQuoteSetValue(D12,ROUND($L12,6),EvaluationDate)</f>
        <v>0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-2.2997948693555126E-4</v>
      </c>
      <c r="I13" s="17"/>
      <c r="J13" s="132">
        <v>-1.9950697095662319E-4</v>
      </c>
      <c r="K13" s="16"/>
      <c r="L13" s="120">
        <f>QuoteLive</f>
        <v>-2.2997948693555126E-4</v>
      </c>
      <c r="M13" s="121">
        <f>_xll.qlSimpleQuoteSetValue(D13,ROUND($L13,6),EvaluationDate)</f>
        <v>0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-1.5703831490622495E-4</v>
      </c>
      <c r="I14" s="17"/>
      <c r="J14" s="133">
        <v>-1.3458461421572457E-4</v>
      </c>
      <c r="K14" s="16"/>
      <c r="L14" s="122">
        <f>QuoteLive</f>
        <v>-1.5703831490622495E-4</v>
      </c>
      <c r="M14" s="123">
        <f>_xll.qlSimpleQuoteSetValue(D14,ROUND($L14,6),EvaluationDate)</f>
        <v>0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-3.9458792169710932E-4</v>
      </c>
      <c r="I15" s="17"/>
      <c r="J15" s="132">
        <v>-3.9458792169710932E-4</v>
      </c>
      <c r="K15" s="16"/>
      <c r="L15" s="120">
        <f>QuoteLive</f>
        <v>-3.9458792169710932E-4</v>
      </c>
      <c r="M15" s="121">
        <f>_xll.qlSimpleQuoteSetValue(D15,ROUND($L15,6),EvaluationDate)</f>
        <v>0</v>
      </c>
      <c r="N15" s="110">
        <f>_xll.ohTrigger(M15:M24)</f>
        <v>4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-3.4882074422640637E-4</v>
      </c>
      <c r="I16" s="17"/>
      <c r="J16" s="132">
        <v>-3.4882074422640637E-4</v>
      </c>
      <c r="K16" s="16"/>
      <c r="L16" s="120">
        <f>QuoteLive</f>
        <v>-3.4882074422640637E-4</v>
      </c>
      <c r="M16" s="121">
        <f>_xll.qlSimpleQuoteSetValue(D16,ROUND($L16,6),EvaluationDate)</f>
        <v>0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-2.9738708666198529E-4</v>
      </c>
      <c r="I17" s="17"/>
      <c r="J17" s="132">
        <v>-2.9738708666198529E-4</v>
      </c>
      <c r="K17" s="16"/>
      <c r="L17" s="120">
        <f>QuoteLive</f>
        <v>-2.9738708666198529E-4</v>
      </c>
      <c r="M17" s="121">
        <f>_xll.qlSimpleQuoteSetValue(D17,ROUND($L17,6),EvaluationDate)</f>
        <v>0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-2.4799094100532874E-4</v>
      </c>
      <c r="I18" s="17"/>
      <c r="J18" s="132">
        <v>-2.4799094100532874E-4</v>
      </c>
      <c r="K18" s="16"/>
      <c r="L18" s="120">
        <f>QuoteLive</f>
        <v>-2.4799094100532874E-4</v>
      </c>
      <c r="M18" s="121">
        <f>_xll.qlSimpleQuoteSetValue(D18,ROUND($L18,6),EvaluationDate)</f>
        <v>0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-1.6731560503580045E-4</v>
      </c>
      <c r="I19" s="40"/>
      <c r="J19" s="135">
        <v>-1.6731560503580045E-4</v>
      </c>
      <c r="K19" s="41"/>
      <c r="L19" s="126">
        <f>QuoteLive</f>
        <v>-1.6731560503580045E-4</v>
      </c>
      <c r="M19" s="127">
        <f>_xll.qlSimpleQuoteSetValue(D19,ROUND($L19,6),EvaluationDate)</f>
        <v>0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1.7135171395336655E-5</v>
      </c>
      <c r="I20" s="17"/>
      <c r="J20" s="132">
        <v>1.7135171395336655E-5</v>
      </c>
      <c r="K20" s="16"/>
      <c r="L20" s="120">
        <f>QuoteLive</f>
        <v>1.7135171395336655E-5</v>
      </c>
      <c r="M20" s="121">
        <f>_xll.qlSimpleQuoteSetValue(D20,ROUND($L20,6),EvaluationDate)</f>
        <v>0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1.4970942120604377E-4</v>
      </c>
      <c r="I21" s="17"/>
      <c r="J21" s="132">
        <v>1.4970942120604377E-4</v>
      </c>
      <c r="K21" s="16"/>
      <c r="L21" s="120">
        <f>QuoteLive</f>
        <v>1.4970942120604377E-4</v>
      </c>
      <c r="M21" s="121">
        <f>_xll.qlSimpleQuoteSetValue(D21,ROUND($L21,6),EvaluationDate)</f>
        <v>0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2.6137895483839443E-4</v>
      </c>
      <c r="I22" s="17"/>
      <c r="J22" s="132">
        <v>2.6137895483839443E-4</v>
      </c>
      <c r="K22" s="16"/>
      <c r="L22" s="120">
        <f>QuoteLive</f>
        <v>2.6137895483839443E-4</v>
      </c>
      <c r="M22" s="121">
        <f>_xll.qlSimpleQuoteSetValue(D22,ROUND($L22,6),EvaluationDate)</f>
        <v>0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3.5794344177292E-4</v>
      </c>
      <c r="I23" s="17"/>
      <c r="J23" s="132">
        <v>3.5794344177292E-4</v>
      </c>
      <c r="K23" s="16"/>
      <c r="L23" s="120">
        <f>QuoteLive</f>
        <v>3.5794344177292E-4</v>
      </c>
      <c r="M23" s="121">
        <f>_xll.qlSimpleQuoteSetValue(D23,ROUND($L23,6),EvaluationDate)</f>
        <v>0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4.4048941423735494E-4</v>
      </c>
      <c r="I24" s="17"/>
      <c r="J24" s="133">
        <v>4.4048941423735494E-4</v>
      </c>
      <c r="K24" s="16"/>
      <c r="L24" s="122">
        <f>QuoteLive</f>
        <v>4.4048941423735494E-4</v>
      </c>
      <c r="M24" s="123">
        <f>_xll.qlSimpleQuoteSetValue(D24,ROUND($L24,6),EvaluationDate)</f>
        <v>0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1.4974025447589412E-3</v>
      </c>
      <c r="I25" s="17"/>
      <c r="J25" s="132">
        <v>1.4974025447589412E-3</v>
      </c>
      <c r="K25" s="16"/>
      <c r="L25" s="120">
        <f>QuoteLive</f>
        <v>1.4974025447589412E-3</v>
      </c>
      <c r="M25" s="121">
        <f>_xll.qlSimpleQuoteSetValue(D25,ROUND($L25,6),EvaluationDate)</f>
        <v>0</v>
      </c>
      <c r="N25" s="110">
        <f>_xll.ohTrigger(M25:M40)</f>
        <v>4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1.4989280131162883E-3</v>
      </c>
      <c r="I26" s="17"/>
      <c r="J26" s="132">
        <v>1.4989280131162883E-3</v>
      </c>
      <c r="K26" s="16"/>
      <c r="L26" s="120">
        <f>QuoteLive</f>
        <v>1.4989280131162883E-3</v>
      </c>
      <c r="M26" s="121">
        <f>_xll.qlSimpleQuoteSetValue(D26,ROUND($L26,6),EvaluationDate)</f>
        <v>0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1.500812891021473E-3</v>
      </c>
      <c r="I27" s="17"/>
      <c r="J27" s="132">
        <v>1.500812891021473E-3</v>
      </c>
      <c r="K27" s="16"/>
      <c r="L27" s="120">
        <f>QuoteLive</f>
        <v>1.500812891021473E-3</v>
      </c>
      <c r="M27" s="121">
        <f>_xll.qlSimpleQuoteSetValue(D27,ROUND($L27,6),EvaluationDate)</f>
        <v>0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1.5028246946651486E-3</v>
      </c>
      <c r="I28" s="17"/>
      <c r="J28" s="132">
        <v>1.5028246946651486E-3</v>
      </c>
      <c r="K28" s="16"/>
      <c r="L28" s="120">
        <f>QuoteLive</f>
        <v>1.5028246946651486E-3</v>
      </c>
      <c r="M28" s="121">
        <f>_xll.qlSimpleQuoteSetValue(D28,ROUND($L28,6),EvaluationDate)</f>
        <v>0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1.5052680233473836E-3</v>
      </c>
      <c r="I29" s="17"/>
      <c r="J29" s="133">
        <v>1.5052680233473836E-3</v>
      </c>
      <c r="K29" s="16"/>
      <c r="L29" s="122">
        <f>QuoteLive</f>
        <v>1.5052680233473836E-3</v>
      </c>
      <c r="M29" s="123">
        <f>_xll.qlSimpleQuoteSetValue(D29,ROUND($L29,6),EvaluationDate)</f>
        <v>0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1.5332441280138038E-3</v>
      </c>
      <c r="I30" s="17"/>
      <c r="J30" s="132">
        <v>1.5332441280138038E-3</v>
      </c>
      <c r="K30" s="16"/>
      <c r="L30" s="120">
        <f>QuoteLive</f>
        <v>1.5332441280138038E-3</v>
      </c>
      <c r="M30" s="121">
        <f>_xll.qlSimpleQuoteSetValue(D30,ROUND($L30,6),EvaluationDate)</f>
        <v>0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1.5440442796775956E-3</v>
      </c>
      <c r="I31" s="17"/>
      <c r="J31" s="132">
        <v>1.5440442796775956E-3</v>
      </c>
      <c r="K31" s="16"/>
      <c r="L31" s="120">
        <f>QuoteLive</f>
        <v>1.5440442796775956E-3</v>
      </c>
      <c r="M31" s="121">
        <f>_xll.qlSimpleQuoteSetValue(D31,ROUND($L31,6),EvaluationDate)</f>
        <v>0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1.6054669927649161E-3</v>
      </c>
      <c r="I32" s="17"/>
      <c r="J32" s="132">
        <v>1.6054669927649161E-3</v>
      </c>
      <c r="K32" s="16"/>
      <c r="L32" s="120">
        <f>QuoteLive</f>
        <v>1.6054669927649161E-3</v>
      </c>
      <c r="M32" s="121">
        <f>_xll.qlSimpleQuoteSetValue(D32,ROUND($L32,6),EvaluationDate)</f>
        <v>0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1.563131601399824E-3</v>
      </c>
      <c r="I33" s="17"/>
      <c r="J33" s="132">
        <v>1.563131601399824E-3</v>
      </c>
      <c r="K33" s="16"/>
      <c r="L33" s="120">
        <f>QuoteLive</f>
        <v>1.563131601399824E-3</v>
      </c>
      <c r="M33" s="121">
        <f>_xll.qlSimpleQuoteSetValue(D33,ROUND($L33,6),EvaluationDate)</f>
        <v>0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1.5671738365460426E-3</v>
      </c>
      <c r="I34" s="17"/>
      <c r="J34" s="132">
        <v>1.5671738365460426E-3</v>
      </c>
      <c r="K34" s="16"/>
      <c r="L34" s="120">
        <f>QuoteLive</f>
        <v>1.5671738365460426E-3</v>
      </c>
      <c r="M34" s="121">
        <f>_xll.qlSimpleQuoteSetValue(D34,ROUND($L34,6),EvaluationDate)</f>
        <v>0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1.7371262017769262E-3</v>
      </c>
      <c r="I35" s="17"/>
      <c r="J35" s="132">
        <v>1.7371262017769262E-3</v>
      </c>
      <c r="K35" s="16"/>
      <c r="L35" s="120">
        <f>QuoteLive</f>
        <v>1.7371262017769262E-3</v>
      </c>
      <c r="M35" s="121">
        <f>_xll.qlSimpleQuoteSetValue(D35,ROUND($L35,6),EvaluationDate)</f>
        <v>0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1.7371262017769262E-3</v>
      </c>
      <c r="I36" s="17"/>
      <c r="J36" s="132">
        <v>1.7371262017769262E-3</v>
      </c>
      <c r="K36" s="16"/>
      <c r="L36" s="120">
        <f>QuoteLive</f>
        <v>1.7371262017769262E-3</v>
      </c>
      <c r="M36" s="121">
        <f>_xll.qlSimpleQuoteSetValue(D36,ROUND($L36,6),EvaluationDate)</f>
        <v>0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1.7371262017769262E-3</v>
      </c>
      <c r="I37" s="17"/>
      <c r="J37" s="132">
        <v>1.7371262017769262E-3</v>
      </c>
      <c r="K37" s="16"/>
      <c r="L37" s="120">
        <f>QuoteLive</f>
        <v>1.7371262017769262E-3</v>
      </c>
      <c r="M37" s="121">
        <f>_xll.qlSimpleQuoteSetValue(D37,ROUND($L37,6),EvaluationDate)</f>
        <v>0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1.7371262017769262E-3</v>
      </c>
      <c r="I38" s="17"/>
      <c r="J38" s="132">
        <v>1.7371262017769262E-3</v>
      </c>
      <c r="K38" s="16"/>
      <c r="L38" s="120">
        <f>QuoteLive</f>
        <v>1.7371262017769262E-3</v>
      </c>
      <c r="M38" s="121">
        <f>_xll.qlSimpleQuoteSetValue(D38,ROUND($L38,6),EvaluationDate)</f>
        <v>0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1.7371262017769262E-3</v>
      </c>
      <c r="I39" s="17"/>
      <c r="J39" s="132">
        <v>1.7371262017769262E-3</v>
      </c>
      <c r="K39" s="16"/>
      <c r="L39" s="120">
        <f>QuoteLive</f>
        <v>1.7371262017769262E-3</v>
      </c>
      <c r="M39" s="121">
        <f>_xll.qlSimpleQuoteSetValue(D39,ROUND($L39,6),EvaluationDate)</f>
        <v>0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1.7371262017769262E-3</v>
      </c>
      <c r="I40" s="17"/>
      <c r="J40" s="133">
        <v>1.7371262017769262E-3</v>
      </c>
      <c r="K40" s="16"/>
      <c r="L40" s="122">
        <f>QuoteLive</f>
        <v>1.7371262017769262E-3</v>
      </c>
      <c r="M40" s="123">
        <f>_xll.qlSimpleQuoteSetValue(D40,ROUND($L40,6),EvaluationDate)</f>
        <v>0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1.8400000000000001E-3</v>
      </c>
      <c r="I41" s="18"/>
      <c r="J41" s="136">
        <v>1.8400000000000001E-3</v>
      </c>
      <c r="K41" s="19"/>
      <c r="L41" s="128">
        <f>QuoteLive</f>
        <v>1.8400000000000001E-3</v>
      </c>
      <c r="M41" s="129">
        <f>_xll.qlSimpleQuoteSetValue(D41,ROUND(L41,6),EvaluationDate)</f>
        <v>0</v>
      </c>
      <c r="N41" s="110">
        <f>_xll.ohTrigger(M41:M63)</f>
        <v>4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1.9E-3</v>
      </c>
      <c r="I42" s="19"/>
      <c r="J42" s="136">
        <v>1.9E-3</v>
      </c>
      <c r="K42" s="19"/>
      <c r="L42" s="128">
        <f>QuoteLive</f>
        <v>1.9E-3</v>
      </c>
      <c r="M42" s="129">
        <f>_xll.qlSimpleQuoteSetValue(D42,ROUND(L42,6),EvaluationDate)</f>
        <v>0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1.9399999999999999E-3</v>
      </c>
      <c r="I43" s="19"/>
      <c r="J43" s="136">
        <v>1.9399999999999999E-3</v>
      </c>
      <c r="K43" s="19"/>
      <c r="L43" s="128">
        <f>QuoteLive</f>
        <v>1.9399999999999999E-3</v>
      </c>
      <c r="M43" s="129">
        <f>_xll.qlSimpleQuoteSetValue(D43,ROUND(L43,6),EvaluationDate)</f>
        <v>0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1.98E-3</v>
      </c>
      <c r="I44" s="19"/>
      <c r="J44" s="136">
        <v>1.98E-3</v>
      </c>
      <c r="K44" s="19"/>
      <c r="L44" s="128">
        <f>QuoteLive</f>
        <v>1.98E-3</v>
      </c>
      <c r="M44" s="129">
        <f>_xll.qlSimpleQuoteSetValue(D44,ROUND(L44,6),EvaluationDate)</f>
        <v>0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2.0099999999999996E-3</v>
      </c>
      <c r="I45" s="19"/>
      <c r="J45" s="136">
        <v>2.0099999999999996E-3</v>
      </c>
      <c r="K45" s="19"/>
      <c r="L45" s="128">
        <f>QuoteLive</f>
        <v>2.0099999999999996E-3</v>
      </c>
      <c r="M45" s="129">
        <f>_xll.qlSimpleQuoteSetValue(D45,ROUND(L45,6),EvaluationDate)</f>
        <v>0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2.0600000000000002E-3</v>
      </c>
      <c r="I46" s="19"/>
      <c r="J46" s="136">
        <v>2.0600000000000002E-3</v>
      </c>
      <c r="K46" s="19"/>
      <c r="L46" s="128">
        <f>QuoteLive</f>
        <v>2.0600000000000002E-3</v>
      </c>
      <c r="M46" s="129">
        <f>_xll.qlSimpleQuoteSetValue(D46,ROUND(L46,6),EvaluationDate)</f>
        <v>0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2.1400000000000004E-3</v>
      </c>
      <c r="I47" s="19"/>
      <c r="J47" s="136">
        <v>2.1400000000000004E-3</v>
      </c>
      <c r="K47" s="19"/>
      <c r="L47" s="128">
        <f>QuoteLive</f>
        <v>2.1400000000000004E-3</v>
      </c>
      <c r="M47" s="129">
        <f>_xll.qlSimpleQuoteSetValue(D47,ROUND(L47,6),EvaluationDate)</f>
        <v>0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2.2599999999999999E-3</v>
      </c>
      <c r="I48" s="19"/>
      <c r="J48" s="136">
        <v>2.2599999999999999E-3</v>
      </c>
      <c r="K48" s="19"/>
      <c r="L48" s="128">
        <f>QuoteLive</f>
        <v>2.2599999999999999E-3</v>
      </c>
      <c r="M48" s="129">
        <f>_xll.qlSimpleQuoteSetValue(D48,ROUND(L48,6),EvaluationDate)</f>
        <v>0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2.4100000000000002E-3</v>
      </c>
      <c r="I49" s="19"/>
      <c r="J49" s="136">
        <v>2.4100000000000002E-3</v>
      </c>
      <c r="K49" s="19"/>
      <c r="L49" s="128">
        <f>QuoteLive</f>
        <v>2.4100000000000002E-3</v>
      </c>
      <c r="M49" s="129">
        <f>_xll.qlSimpleQuoteSetValue(D49,ROUND(L49,6),EvaluationDate)</f>
        <v>0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2.5600000000000006E-3</v>
      </c>
      <c r="I50" s="19"/>
      <c r="J50" s="136">
        <v>2.5600000000000006E-3</v>
      </c>
      <c r="K50" s="19"/>
      <c r="L50" s="128">
        <f>QuoteLive</f>
        <v>2.5600000000000006E-3</v>
      </c>
      <c r="M50" s="129">
        <f>_xll.qlSimpleQuoteSetValue(D50,ROUND(L50,6),EvaluationDate)</f>
        <v>0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2.7300000000000002E-3</v>
      </c>
      <c r="I51" s="19"/>
      <c r="J51" s="136">
        <v>2.7300000000000002E-3</v>
      </c>
      <c r="K51" s="19"/>
      <c r="L51" s="128">
        <f>QuoteLive</f>
        <v>2.7300000000000002E-3</v>
      </c>
      <c r="M51" s="129">
        <f>_xll.qlSimpleQuoteSetValue(D51,ROUND(L51,6),EvaluationDate)</f>
        <v>0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3.0550204530030009E-3</v>
      </c>
      <c r="I52" s="19"/>
      <c r="J52" s="136">
        <v>3.0550204530030009E-3</v>
      </c>
      <c r="K52" s="19"/>
      <c r="L52" s="128">
        <f>QuoteLive</f>
        <v>3.0550204530030009E-3</v>
      </c>
      <c r="M52" s="129">
        <f>_xll.qlSimpleQuoteSetValue(D52,ROUND(L52,6),EvaluationDate)</f>
        <v>0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3.2136476876061435E-3</v>
      </c>
      <c r="I53" s="19"/>
      <c r="J53" s="136">
        <v>3.2136476876061435E-3</v>
      </c>
      <c r="K53" s="19"/>
      <c r="L53" s="128">
        <f>QuoteLive</f>
        <v>3.2136476876061435E-3</v>
      </c>
      <c r="M53" s="129">
        <f>_xll.qlSimpleQuoteSetValue(D53,ROUND(L53,6),EvaluationDate)</f>
        <v>0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3.3781989365931843E-3</v>
      </c>
      <c r="I54" s="19"/>
      <c r="J54" s="136">
        <v>3.3781989365931843E-3</v>
      </c>
      <c r="K54" s="19"/>
      <c r="L54" s="128">
        <f>QuoteLive</f>
        <v>3.3781989365931843E-3</v>
      </c>
      <c r="M54" s="129">
        <f>_xll.qlSimpleQuoteSetValue(D54,ROUND(L54,6),EvaluationDate)</f>
        <v>0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3.5617199416830029E-3</v>
      </c>
      <c r="I55" s="19"/>
      <c r="J55" s="136">
        <v>3.5617199416830029E-3</v>
      </c>
      <c r="K55" s="19"/>
      <c r="L55" s="128">
        <f>QuoteLive</f>
        <v>3.5617199416830029E-3</v>
      </c>
      <c r="M55" s="129">
        <f>_xll.qlSimpleQuoteSetValue(D55,ROUND(L55,6),EvaluationDate)</f>
        <v>0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3.7628251750279253E-3</v>
      </c>
      <c r="I56" s="19"/>
      <c r="J56" s="136">
        <v>3.7628251750279253E-3</v>
      </c>
      <c r="K56" s="19"/>
      <c r="L56" s="128">
        <f>QuoteLive</f>
        <v>3.7628251750279253E-3</v>
      </c>
      <c r="M56" s="129">
        <f>_xll.qlSimpleQuoteSetValue(D56,ROUND(L56,6),EvaluationDate)</f>
        <v>0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3.9265253470068618E-3</v>
      </c>
      <c r="I57" s="19"/>
      <c r="J57" s="136">
        <v>3.9265253470068618E-3</v>
      </c>
      <c r="K57" s="19"/>
      <c r="L57" s="128">
        <f>QuoteLive</f>
        <v>3.9265253470068618E-3</v>
      </c>
      <c r="M57" s="129">
        <f>_xll.qlSimpleQuoteSetValue(D57,ROUND(L57,6),EvaluationDate)</f>
        <v>0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4.1233252318716969E-3</v>
      </c>
      <c r="I58" s="19"/>
      <c r="J58" s="136">
        <v>4.1233252318716969E-3</v>
      </c>
      <c r="K58" s="19"/>
      <c r="L58" s="128">
        <f>QuoteLive</f>
        <v>4.1233252318716969E-3</v>
      </c>
      <c r="M58" s="129">
        <f>_xll.qlSimpleQuoteSetValue(D58,ROUND(L58,6),EvaluationDate)</f>
        <v>0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4.2998752046775959E-3</v>
      </c>
      <c r="I59" s="19"/>
      <c r="J59" s="136">
        <v>4.2998752046775959E-3</v>
      </c>
      <c r="K59" s="19"/>
      <c r="L59" s="128">
        <f>QuoteLive</f>
        <v>4.2998752046775959E-3</v>
      </c>
      <c r="M59" s="129">
        <f>_xll.qlSimpleQuoteSetValue(D59,ROUND(L59,6),EvaluationDate)</f>
        <v>0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4.5084983987571711E-3</v>
      </c>
      <c r="I60" s="19"/>
      <c r="J60" s="136">
        <v>4.5084983987571711E-3</v>
      </c>
      <c r="K60" s="19"/>
      <c r="L60" s="128">
        <f>QuoteLive</f>
        <v>4.5084983987571711E-3</v>
      </c>
      <c r="M60" s="129">
        <f>_xll.qlSimpleQuoteSetValue(D60,ROUND(L60,6),EvaluationDate)</f>
        <v>0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4.7104291071564178E-3</v>
      </c>
      <c r="I61" s="19"/>
      <c r="J61" s="136">
        <v>4.7104291071564178E-3</v>
      </c>
      <c r="K61" s="19"/>
      <c r="L61" s="128">
        <f>QuoteLive</f>
        <v>4.7104291071564178E-3</v>
      </c>
      <c r="M61" s="129">
        <f>_xll.qlSimpleQuoteSetValue(D61,ROUND(L61,6),EvaluationDate)</f>
        <v>0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4.9480081881614884E-3</v>
      </c>
      <c r="I62" s="19"/>
      <c r="J62" s="136">
        <v>4.9480081881614884E-3</v>
      </c>
      <c r="K62" s="19"/>
      <c r="L62" s="128">
        <f>QuoteLive</f>
        <v>4.9480081881614884E-3</v>
      </c>
      <c r="M62" s="129">
        <f>_xll.qlSimpleQuoteSetValue(D62,ROUND(L62,6),EvaluationDate)</f>
        <v>0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5.1800000000000006E-3</v>
      </c>
      <c r="I63" s="19"/>
      <c r="J63" s="137">
        <v>5.1800000000000006E-3</v>
      </c>
      <c r="K63" s="19"/>
      <c r="L63" s="130">
        <f>QuoteLive</f>
        <v>5.1800000000000006E-3</v>
      </c>
      <c r="M63" s="131">
        <f>_xll.qlSimpleQuoteSetValue(D63,ROUND(L63,6),EvaluationDate)</f>
        <v>0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2015-06-30T15:57:26Z</dcterms:modified>
</cp:coreProperties>
</file>