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9600" windowHeight="13035" activeTab="1"/>
  </bookViews>
  <sheets>
    <sheet name="General Settings" sheetId="2" r:id="rId1"/>
    <sheet name="Contribution" sheetId="7" r:id="rId2"/>
    <sheet name="Contribution (2)" sheetId="23" r:id="rId3"/>
    <sheet name="1M Pricing" sheetId="14" r:id="rId4"/>
    <sheet name="3M Pricing" sheetId="17" r:id="rId5"/>
    <sheet name="6M Pricing" sheetId="18" r:id="rId6"/>
    <sheet name="1Y Pricing" sheetId="21" r:id="rId7"/>
    <sheet name="ON Pricing" sheetId="19" r:id="rId8"/>
    <sheet name="STD Pricing" sheetId="24" r:id="rId9"/>
  </sheets>
  <externalReferences>
    <externalReference r:id="rId10"/>
  </externalReferences>
  <definedNames>
    <definedName name="_xlnm._FilterDatabase" localSheetId="3" hidden="1">'1M Pricing'!$O$35:$O$50</definedName>
    <definedName name="_xlnm._FilterDatabase" localSheetId="1" hidden="1">Contribution!$C$5:$AR$5</definedName>
    <definedName name="_xlnm._FilterDatabase" localSheetId="2" hidden="1">'Contribution (2)'!$C$5:$AR$5</definedName>
    <definedName name="AllTriggers">'General Settings'!$D$6:$D$6</definedName>
    <definedName name="ASK" localSheetId="2">'Contribution (2)'!$G$2</definedName>
    <definedName name="ASK">Contribution!$G$2</definedName>
    <definedName name="BDayConvention" localSheetId="3">'1M Pricing'!$P$6</definedName>
    <definedName name="BDayConvention" localSheetId="6">'1Y Pricing'!$P$6</definedName>
    <definedName name="BDayConvention" localSheetId="4">'3M Pricing'!$P$6</definedName>
    <definedName name="BDayConvention" localSheetId="5">'6M Pricing'!$P$6</definedName>
    <definedName name="BID" localSheetId="2">'Contribution (2)'!$F$2</definedName>
    <definedName name="BID">Contribution!$F$2</definedName>
    <definedName name="Calendar">'General Settings'!$D$19</definedName>
    <definedName name="Contribute">Contribution!$C$2</definedName>
    <definedName name="Currency">'General Settings'!$D$11</definedName>
    <definedName name="CurveTenor" localSheetId="3">'1M Pricing'!$F$1</definedName>
    <definedName name="CurveTenor" localSheetId="6">'1Y Pricing'!$F$1</definedName>
    <definedName name="CurveTenor" localSheetId="4">'3M Pricing'!$F$1</definedName>
    <definedName name="CurveTenor" localSheetId="5">'6M Pricing'!$F$1</definedName>
    <definedName name="CurveTenor" localSheetId="7">'ON Pricing'!$D$1</definedName>
    <definedName name="CurveTenor">'STD Pricing'!$D$1</definedName>
    <definedName name="DayCountConv" localSheetId="7">'ON Pricing'!$N$6</definedName>
    <definedName name="DayCounter" localSheetId="3">'1M Pricing'!$Q$6</definedName>
    <definedName name="DayCounter" localSheetId="6">'1Y Pricing'!$Q$6</definedName>
    <definedName name="DayCounter" localSheetId="4">'3M Pricing'!$Q$6</definedName>
    <definedName name="DayCounter" localSheetId="5">'6M Pricing'!$Q$6</definedName>
    <definedName name="DiscountingCurve">'General Settings'!$D$12</definedName>
    <definedName name="EffectiveDate">'General Settings'!$D$22</definedName>
    <definedName name="EndOfMonth" localSheetId="3">'1M Pricing'!$O$6</definedName>
    <definedName name="EndOfMonth" localSheetId="6">'1Y Pricing'!$O$6</definedName>
    <definedName name="EndOfMonth" localSheetId="4">'3M Pricing'!$O$6</definedName>
    <definedName name="EndOfMonth" localSheetId="5">'6M Pricing'!$O$6</definedName>
    <definedName name="EvaluationDate">'General Settings'!$D$5</definedName>
    <definedName name="Fields" localSheetId="2">'Contribution (2)'!$F$2:$G$2</definedName>
    <definedName name="Fields">Contribution!$F$2:$G$2</definedName>
    <definedName name="FixedLegBDC" localSheetId="3">'1M Pricing'!#REF!</definedName>
    <definedName name="FixedLegBDC" localSheetId="6">'1Y Pricing'!$P$33</definedName>
    <definedName name="FixedLegBDC" localSheetId="4">'3M Pricing'!$P$33</definedName>
    <definedName name="FixedLegBDC" localSheetId="5">'6M Pricing'!$P$33</definedName>
    <definedName name="FixedLegDayCounter" localSheetId="3">'1M Pricing'!#REF!</definedName>
    <definedName name="FixedLegDayCounter" localSheetId="6">'1Y Pricing'!$Q$33</definedName>
    <definedName name="FixedLegDayCounter" localSheetId="4">'3M Pricing'!$Q$33</definedName>
    <definedName name="FixedLegDayCounter" localSheetId="5">'6M Pricing'!$Q$33</definedName>
    <definedName name="FixedLegTenor" localSheetId="3">'1M Pricing'!#REF!</definedName>
    <definedName name="FixedLegTenor" localSheetId="6">'1Y Pricing'!$O$33</definedName>
    <definedName name="FixedLegTenor" localSheetId="4">'3M Pricing'!$O$33</definedName>
    <definedName name="FixedLegTenor" localSheetId="5">'6M Pricing'!$O$33</definedName>
    <definedName name="FuturesRollDays">'General Settings'!$D$15</definedName>
    <definedName name="FwdStart" localSheetId="7">'ON Pricing'!$M$6</definedName>
    <definedName name="IborIndex" localSheetId="3">'1M Pricing'!$F$3</definedName>
    <definedName name="IborIndex" localSheetId="6">'1Y Pricing'!$F$3</definedName>
    <definedName name="IborIndex" localSheetId="4">'3M Pricing'!$F$3</definedName>
    <definedName name="IborIndex" localSheetId="5">'6M Pricing'!$F$3</definedName>
    <definedName name="IborIndex">'STD Pricing'!$D$3</definedName>
    <definedName name="IborIndexFamily">'General Settings'!$D$13</definedName>
    <definedName name="Interpolation" localSheetId="3">'1M Pricing'!$M$6</definedName>
    <definedName name="InterpolationType">'General Settings'!$D$23</definedName>
    <definedName name="LiborCalendar">'General Settings'!$D$17</definedName>
    <definedName name="LocalCalendar">'General Settings'!$D$16</definedName>
    <definedName name="ObjectOverwrite">'General Settings'!$D$29</definedName>
    <definedName name="OvernightIndex" localSheetId="7">'ON Pricing'!$D$3</definedName>
    <definedName name="Permanent">'General Settings'!$D$28</definedName>
    <definedName name="PriceTickValue">'General Settings'!$D$30</definedName>
    <definedName name="RateTickValue">'General Settings'!$D$31</definedName>
    <definedName name="Ric1M" localSheetId="2">'Contribution (2)'!$J$6:$J$65</definedName>
    <definedName name="Ric1M">Contribution!$J$6:$J$65</definedName>
    <definedName name="Ric1Y" localSheetId="2">'Contribution (2)'!$S$6:$S$65</definedName>
    <definedName name="Ric1Y">Contribution!$S$6:$S$65</definedName>
    <definedName name="Ric3M" localSheetId="2">'Contribution (2)'!$M$6:$M$65</definedName>
    <definedName name="Ric3M">Contribution!$M$6:$M$65</definedName>
    <definedName name="Ric6M" localSheetId="2">'Contribution (2)'!$P$6:$P$65</definedName>
    <definedName name="Ric6M">Contribution!$P$6:$P$65</definedName>
    <definedName name="RicON" localSheetId="2">'Contribution (2)'!$V$6:$V$65</definedName>
    <definedName name="RicON">Contribution!$V$6:$V$65</definedName>
    <definedName name="SettlementDate">'General Settings'!$D$20</definedName>
    <definedName name="SettlementDays">'General Settings'!$D$14</definedName>
    <definedName name="SourceAlias" localSheetId="2">'Contribution (2)'!$D$2</definedName>
    <definedName name="SourceAlias">Contribution!$D$2</definedName>
    <definedName name="Trigger">'General Settings'!$D$4</definedName>
    <definedName name="TriggerCounter" localSheetId="2">'Contribution (2)'!$P$1</definedName>
    <definedName name="TriggerCounter">Contribution!$P$1</definedName>
    <definedName name="YieldCurve" localSheetId="3">'1M Pricing'!$F$2</definedName>
    <definedName name="YieldCurve" localSheetId="6">'1Y Pricing'!$F$2</definedName>
    <definedName name="YieldCurve" localSheetId="4">'3M Pricing'!$F$2</definedName>
    <definedName name="YieldCurve" localSheetId="5">'6M Pricing'!$F$2</definedName>
    <definedName name="YieldCurve" localSheetId="7">'ON Pricing'!$D$2</definedName>
    <definedName name="YieldCurve">'STD Pricing'!$D$2</definedName>
  </definedNames>
  <calcPr calcId="145621"/>
</workbook>
</file>

<file path=xl/calcChain.xml><?xml version="1.0" encoding="utf-8"?>
<calcChain xmlns="http://schemas.openxmlformats.org/spreadsheetml/2006/main">
  <c r="AN36" i="23" l="1"/>
  <c r="AM36" i="23"/>
  <c r="AN35" i="23"/>
  <c r="AM35" i="23"/>
  <c r="AN34" i="23"/>
  <c r="AM34" i="23"/>
  <c r="AN32" i="23"/>
  <c r="AM32" i="23"/>
  <c r="AN31" i="23"/>
  <c r="AM31" i="23"/>
  <c r="AN30" i="23"/>
  <c r="AM30" i="23"/>
  <c r="AN29" i="23"/>
  <c r="AM29" i="23"/>
  <c r="AN28" i="23"/>
  <c r="AM28" i="23"/>
  <c r="AN27" i="23"/>
  <c r="AM27" i="23"/>
  <c r="AN26" i="23"/>
  <c r="AM26" i="23"/>
  <c r="AN25" i="23"/>
  <c r="AM25" i="23"/>
  <c r="AN24" i="23"/>
  <c r="AM24" i="23"/>
  <c r="AN23" i="23"/>
  <c r="AM23" i="23"/>
  <c r="AN22" i="23"/>
  <c r="AM22" i="23"/>
  <c r="AN21" i="23"/>
  <c r="AM21" i="23"/>
  <c r="AN20" i="23"/>
  <c r="AM20" i="23"/>
  <c r="AN19" i="23"/>
  <c r="AM19" i="23"/>
  <c r="AN18" i="23"/>
  <c r="AM18" i="23"/>
  <c r="AN17" i="23"/>
  <c r="AM17" i="23"/>
  <c r="AN16" i="23"/>
  <c r="AM16" i="23"/>
  <c r="AN15" i="23"/>
  <c r="AM15" i="23"/>
  <c r="AN14" i="23"/>
  <c r="AM14" i="23"/>
  <c r="AN13" i="23"/>
  <c r="AM13" i="23"/>
  <c r="AN12" i="23"/>
  <c r="AM12" i="23"/>
  <c r="AN11" i="23"/>
  <c r="AM11" i="23"/>
  <c r="AN10" i="23"/>
  <c r="AM10" i="23"/>
  <c r="AN9" i="23"/>
  <c r="AM9" i="23"/>
  <c r="AN8" i="23"/>
  <c r="AM8" i="23"/>
  <c r="AN7" i="23"/>
  <c r="AM7" i="23"/>
  <c r="AM6" i="23"/>
  <c r="AN6" i="23"/>
  <c r="H33" i="7" a="1"/>
  <c r="H34" i="7"/>
  <c r="H35" i="7"/>
  <c r="H36" i="7"/>
  <c r="H68" i="23"/>
  <c r="H67" i="23"/>
  <c r="H66" i="23"/>
  <c r="H65" i="23"/>
  <c r="H64" i="23"/>
  <c r="H63" i="23"/>
  <c r="H62" i="23"/>
  <c r="H61" i="23"/>
  <c r="H60" i="23"/>
  <c r="H59" i="23"/>
  <c r="H58" i="23"/>
  <c r="H57" i="23"/>
  <c r="H56" i="23"/>
  <c r="H55" i="23"/>
  <c r="H54" i="23"/>
  <c r="H53" i="23"/>
  <c r="H52" i="23"/>
  <c r="H51" i="23"/>
  <c r="H50" i="23"/>
  <c r="H49" i="23"/>
  <c r="H48" i="23"/>
  <c r="H47" i="23"/>
  <c r="H46" i="23"/>
  <c r="H45" i="23"/>
  <c r="H44" i="23"/>
  <c r="H43" i="23"/>
  <c r="H42" i="23"/>
  <c r="H41" i="23"/>
  <c r="H40" i="23"/>
  <c r="H39" i="23"/>
  <c r="H38" i="23"/>
  <c r="H33" i="23"/>
  <c r="H37" i="23"/>
  <c r="Z36" i="23"/>
  <c r="AA36" i="23" s="1"/>
  <c r="Z35" i="23"/>
  <c r="AA35" i="23" s="1"/>
  <c r="Z34" i="23"/>
  <c r="AA34" i="23" s="1"/>
  <c r="Z32" i="23"/>
  <c r="AA32" i="23" s="1"/>
  <c r="Z31" i="23"/>
  <c r="AA31" i="23" s="1"/>
  <c r="Z30" i="23"/>
  <c r="AA30" i="23" s="1"/>
  <c r="Z29" i="23"/>
  <c r="AA29" i="23" s="1"/>
  <c r="Z28" i="23"/>
  <c r="AA28" i="23" s="1"/>
  <c r="Z27" i="23"/>
  <c r="AA27" i="23" s="1"/>
  <c r="Z26" i="23"/>
  <c r="AA26" i="23" s="1"/>
  <c r="Z25" i="23"/>
  <c r="AA25" i="23" s="1"/>
  <c r="Z24" i="23"/>
  <c r="AA24" i="23" s="1"/>
  <c r="Z23" i="23"/>
  <c r="AA23" i="23" s="1"/>
  <c r="Z22" i="23"/>
  <c r="AA22" i="23" s="1"/>
  <c r="Z21" i="23"/>
  <c r="AA21" i="23" s="1"/>
  <c r="Z20" i="23"/>
  <c r="AA20" i="23" s="1"/>
  <c r="Z19" i="23"/>
  <c r="AA19" i="23" s="1"/>
  <c r="Z18" i="23"/>
  <c r="AA18" i="23" s="1"/>
  <c r="Z17" i="23"/>
  <c r="AA17" i="23" s="1"/>
  <c r="Z16" i="23"/>
  <c r="AA16" i="23" s="1"/>
  <c r="Z15" i="23"/>
  <c r="AA15" i="23" s="1"/>
  <c r="Z14" i="23"/>
  <c r="AA14" i="23" s="1"/>
  <c r="Z13" i="23"/>
  <c r="AA13" i="23" s="1"/>
  <c r="Z12" i="23"/>
  <c r="AA12" i="23" s="1"/>
  <c r="Z11" i="23"/>
  <c r="AA11" i="23" s="1"/>
  <c r="Z10" i="23"/>
  <c r="AA10" i="23" s="1"/>
  <c r="Z9" i="23"/>
  <c r="AA9" i="23" s="1"/>
  <c r="Z8" i="23"/>
  <c r="AA8" i="23" s="1"/>
  <c r="Z7" i="23"/>
  <c r="AA7" i="23" s="1"/>
  <c r="Z6" i="23"/>
  <c r="AA6" i="23" s="1"/>
  <c r="Y6" i="23" a="1"/>
  <c r="Y6" i="23"/>
  <c r="Y7" i="23"/>
  <c r="Y8" i="23"/>
  <c r="Y9" i="23"/>
  <c r="Y10" i="23"/>
  <c r="Y11" i="23"/>
  <c r="Y12" i="23"/>
  <c r="Y13" i="23"/>
  <c r="Y14" i="23"/>
  <c r="Y15" i="23"/>
  <c r="Y16" i="23"/>
  <c r="Y17" i="23"/>
  <c r="Y18" i="23"/>
  <c r="Y19" i="23"/>
  <c r="Y20" i="23"/>
  <c r="Y21" i="23"/>
  <c r="Y22" i="23"/>
  <c r="Y23" i="23"/>
  <c r="Y24" i="23"/>
  <c r="Y25" i="23"/>
  <c r="Y26" i="23"/>
  <c r="Y27" i="23"/>
  <c r="Y28" i="23"/>
  <c r="Y29" i="23"/>
  <c r="Y30" i="23"/>
  <c r="Y31" i="23"/>
  <c r="Y32" i="23"/>
  <c r="Y33" i="23"/>
  <c r="Y34" i="23"/>
  <c r="Y35" i="23"/>
  <c r="Y36" i="23"/>
  <c r="Y37" i="23"/>
  <c r="Y38" i="23"/>
  <c r="Y39" i="23"/>
  <c r="Y40" i="23"/>
  <c r="Y41" i="23"/>
  <c r="Y42" i="23"/>
  <c r="Y43" i="23"/>
  <c r="Y44" i="23"/>
  <c r="Y45" i="23"/>
  <c r="Y46" i="23"/>
  <c r="Y47" i="23"/>
  <c r="Y48" i="23"/>
  <c r="Y49" i="23"/>
  <c r="Y50" i="23"/>
  <c r="Y51" i="23"/>
  <c r="Y52" i="23"/>
  <c r="Y53" i="23"/>
  <c r="Y54" i="23"/>
  <c r="Y55" i="23"/>
  <c r="Y56" i="23"/>
  <c r="Y57" i="23"/>
  <c r="Y58" i="23"/>
  <c r="Y59" i="23"/>
  <c r="Y60" i="23"/>
  <c r="Y61" i="23"/>
  <c r="Y62" i="23"/>
  <c r="Y63" i="23"/>
  <c r="Y64" i="23"/>
  <c r="Y65" i="23"/>
  <c r="Y66" i="23"/>
  <c r="Y67" i="23"/>
  <c r="Y68" i="23"/>
  <c r="AA29" i="7"/>
  <c r="AA28" i="7"/>
  <c r="AA21" i="7"/>
  <c r="AA20" i="7"/>
  <c r="AA13" i="7"/>
  <c r="AA12" i="7"/>
  <c r="Z36" i="7"/>
  <c r="AA36" i="7" s="1"/>
  <c r="Z35" i="7"/>
  <c r="AA35" i="7" s="1"/>
  <c r="Z34" i="7"/>
  <c r="AA34" i="7" s="1"/>
  <c r="Z32" i="7"/>
  <c r="AA32" i="7" s="1"/>
  <c r="Z31" i="7"/>
  <c r="AA31" i="7" s="1"/>
  <c r="Z30" i="7"/>
  <c r="AA30" i="7" s="1"/>
  <c r="Z29" i="7"/>
  <c r="Z28" i="7"/>
  <c r="Z27" i="7"/>
  <c r="AA27" i="7" s="1"/>
  <c r="Z26" i="7"/>
  <c r="AA26" i="7" s="1"/>
  <c r="Z25" i="7"/>
  <c r="AA25" i="7" s="1"/>
  <c r="Z24" i="7"/>
  <c r="AA24" i="7" s="1"/>
  <c r="Z23" i="7"/>
  <c r="AA23" i="7" s="1"/>
  <c r="Z22" i="7"/>
  <c r="AA22" i="7" s="1"/>
  <c r="Z21" i="7"/>
  <c r="Z20" i="7"/>
  <c r="Z19" i="7"/>
  <c r="AA19" i="7" s="1"/>
  <c r="Z18" i="7"/>
  <c r="AA18" i="7" s="1"/>
  <c r="Z17" i="7"/>
  <c r="AA17" i="7" s="1"/>
  <c r="Z16" i="7"/>
  <c r="AA16" i="7" s="1"/>
  <c r="Z15" i="7"/>
  <c r="AA15" i="7" s="1"/>
  <c r="Z14" i="7"/>
  <c r="AA14" i="7" s="1"/>
  <c r="Z13" i="7"/>
  <c r="Z12" i="7"/>
  <c r="Z11" i="7"/>
  <c r="AA11" i="7" s="1"/>
  <c r="Z10" i="7"/>
  <c r="AA10" i="7" s="1"/>
  <c r="Z9" i="7"/>
  <c r="AA9" i="7" s="1"/>
  <c r="Z8" i="7"/>
  <c r="AA8" i="7" s="1"/>
  <c r="Z7" i="7"/>
  <c r="AA7" i="7" s="1"/>
  <c r="Z6" i="7"/>
  <c r="AA6" i="7" s="1"/>
  <c r="H68" i="24"/>
  <c r="H67" i="24"/>
  <c r="H66" i="24"/>
  <c r="H65" i="24"/>
  <c r="H64" i="24"/>
  <c r="H63" i="24"/>
  <c r="H62" i="24"/>
  <c r="H61" i="24"/>
  <c r="H60" i="24"/>
  <c r="H59" i="24"/>
  <c r="H58" i="24"/>
  <c r="H57" i="24"/>
  <c r="H56" i="24"/>
  <c r="H55" i="24"/>
  <c r="H54" i="24"/>
  <c r="H53" i="24"/>
  <c r="H52" i="24"/>
  <c r="H51" i="24"/>
  <c r="H50" i="24"/>
  <c r="H49" i="24"/>
  <c r="H48" i="24"/>
  <c r="H47" i="24"/>
  <c r="H46" i="24"/>
  <c r="H45" i="24"/>
  <c r="H44" i="24"/>
  <c r="H43" i="24"/>
  <c r="H42" i="24"/>
  <c r="H41" i="24"/>
  <c r="H40" i="24"/>
  <c r="H39" i="24"/>
  <c r="H38" i="24"/>
  <c r="H37" i="24"/>
  <c r="H33" i="24"/>
  <c r="D2" i="24"/>
  <c r="K36" i="19"/>
  <c r="K18" i="19"/>
  <c r="K45" i="19"/>
  <c r="K39" i="19"/>
  <c r="K40" i="19"/>
  <c r="K47" i="19"/>
  <c r="K37" i="19"/>
  <c r="K65" i="19"/>
  <c r="K34" i="19"/>
  <c r="K19" i="19"/>
  <c r="K58" i="19"/>
  <c r="K68" i="19"/>
  <c r="F19" i="19"/>
  <c r="K22" i="19"/>
  <c r="K38" i="19"/>
  <c r="K42" i="19"/>
  <c r="K14" i="19"/>
  <c r="F14" i="19" s="1"/>
  <c r="K52" i="19"/>
  <c r="K43" i="19"/>
  <c r="K50" i="19"/>
  <c r="K44" i="19"/>
  <c r="K35" i="19"/>
  <c r="K23" i="19"/>
  <c r="E23" i="19" s="1"/>
  <c r="K55" i="19"/>
  <c r="K49" i="19"/>
  <c r="K62" i="19"/>
  <c r="K10" i="19"/>
  <c r="K15" i="19"/>
  <c r="E19" i="19"/>
  <c r="E18" i="19"/>
  <c r="E14" i="19"/>
  <c r="K21" i="19"/>
  <c r="D21" i="2"/>
  <c r="K60" i="19"/>
  <c r="K51" i="19"/>
  <c r="K12" i="19"/>
  <c r="K11" i="19"/>
  <c r="E11" i="19" s="1"/>
  <c r="F10" i="19"/>
  <c r="K67" i="19"/>
  <c r="F21" i="19"/>
  <c r="K56" i="19"/>
  <c r="K59" i="19"/>
  <c r="K64" i="19"/>
  <c r="K46" i="19"/>
  <c r="K17" i="19"/>
  <c r="E17" i="19" s="1"/>
  <c r="K54" i="19"/>
  <c r="K9" i="19"/>
  <c r="F9" i="19" s="1"/>
  <c r="F18" i="19"/>
  <c r="D3" i="24"/>
  <c r="K48" i="19"/>
  <c r="K66" i="19"/>
  <c r="K53" i="19"/>
  <c r="K41" i="19"/>
  <c r="K61" i="19"/>
  <c r="E22" i="19"/>
  <c r="K16" i="19"/>
  <c r="F16" i="19" s="1"/>
  <c r="K63" i="19"/>
  <c r="K20" i="19"/>
  <c r="F22" i="19"/>
  <c r="E9" i="19"/>
  <c r="K57" i="19"/>
  <c r="K13" i="19"/>
  <c r="E13" i="19" s="1"/>
  <c r="F17" i="19"/>
  <c r="F23" i="19"/>
  <c r="F15" i="19"/>
  <c r="E15" i="19"/>
  <c r="E12" i="19"/>
  <c r="F12" i="19"/>
  <c r="F20" i="19"/>
  <c r="E20" i="19"/>
  <c r="F2" i="14" l="1"/>
  <c r="E16" i="19"/>
  <c r="F13" i="19"/>
  <c r="F11" i="19"/>
  <c r="E10" i="19"/>
  <c r="E21" i="19"/>
  <c r="M25" i="14"/>
  <c r="M9" i="14"/>
  <c r="C2" i="23" l="1"/>
  <c r="AJ36" i="23" l="1"/>
  <c r="AI36" i="23"/>
  <c r="AH36" i="23"/>
  <c r="AG36" i="23"/>
  <c r="AF36" i="23"/>
  <c r="AE36" i="23"/>
  <c r="AD36" i="23"/>
  <c r="AC36" i="23"/>
  <c r="AJ35" i="23"/>
  <c r="AI35" i="23"/>
  <c r="AH35" i="23"/>
  <c r="AG35" i="23"/>
  <c r="AF35" i="23"/>
  <c r="AE35" i="23"/>
  <c r="AD35" i="23"/>
  <c r="AC35" i="23"/>
  <c r="AJ34" i="23"/>
  <c r="AI34" i="23"/>
  <c r="AH34" i="23"/>
  <c r="AG34" i="23"/>
  <c r="AF34" i="23"/>
  <c r="AE34" i="23"/>
  <c r="AD34" i="23"/>
  <c r="AC34" i="23"/>
  <c r="AL31" i="23"/>
  <c r="AK31" i="23"/>
  <c r="AL30" i="23"/>
  <c r="AK30" i="23"/>
  <c r="AL29" i="23"/>
  <c r="AK29" i="23"/>
  <c r="AL28" i="23"/>
  <c r="AK28" i="23"/>
  <c r="AL27" i="23"/>
  <c r="AK27" i="23"/>
  <c r="AL26" i="23"/>
  <c r="AK26" i="23"/>
  <c r="AL25" i="23"/>
  <c r="AK25" i="23"/>
  <c r="AL24" i="23"/>
  <c r="AK24" i="23"/>
  <c r="AJ23" i="23"/>
  <c r="AI23" i="23"/>
  <c r="AH23" i="23"/>
  <c r="AG23" i="23"/>
  <c r="AF23" i="23"/>
  <c r="AE23" i="23"/>
  <c r="AD23" i="23"/>
  <c r="AC23" i="23"/>
  <c r="AJ22" i="23"/>
  <c r="AI22" i="23"/>
  <c r="AH22" i="23"/>
  <c r="AG22" i="23"/>
  <c r="AF22" i="23"/>
  <c r="AE22" i="23"/>
  <c r="AD22" i="23"/>
  <c r="AC22" i="23"/>
  <c r="AJ21" i="23"/>
  <c r="AI21" i="23"/>
  <c r="AH21" i="23"/>
  <c r="AG21" i="23"/>
  <c r="AF21" i="23"/>
  <c r="AE21" i="23"/>
  <c r="AD21" i="23"/>
  <c r="AC21" i="23"/>
  <c r="AJ8" i="23"/>
  <c r="AI8" i="23"/>
  <c r="AH8" i="23"/>
  <c r="AG8" i="23"/>
  <c r="AF8" i="23"/>
  <c r="AE8" i="23"/>
  <c r="AD8" i="23"/>
  <c r="AC8" i="23"/>
  <c r="AL7" i="23"/>
  <c r="AK7" i="23"/>
  <c r="AJ7" i="23"/>
  <c r="AI7" i="23"/>
  <c r="AH7" i="23"/>
  <c r="AG7" i="23"/>
  <c r="AF7" i="23"/>
  <c r="AE7" i="23"/>
  <c r="AD7" i="23"/>
  <c r="AC7" i="23"/>
  <c r="AL6" i="23"/>
  <c r="AK6" i="23"/>
  <c r="AJ6" i="23"/>
  <c r="AI6" i="23"/>
  <c r="AH6" i="23"/>
  <c r="AG6" i="23"/>
  <c r="AF6" i="23"/>
  <c r="AE6" i="23"/>
  <c r="AD6" i="23"/>
  <c r="AC6" i="23"/>
  <c r="J9" i="18" l="1"/>
  <c r="J9" i="17"/>
  <c r="J9" i="21"/>
  <c r="J68" i="21"/>
  <c r="J67" i="21"/>
  <c r="J66" i="21"/>
  <c r="J65" i="21"/>
  <c r="J64" i="21"/>
  <c r="J63" i="21"/>
  <c r="J62" i="21"/>
  <c r="J61" i="21"/>
  <c r="J60" i="21"/>
  <c r="J59" i="21"/>
  <c r="J58" i="21"/>
  <c r="J57" i="21"/>
  <c r="J56" i="21"/>
  <c r="J55" i="21"/>
  <c r="J54" i="21"/>
  <c r="J53" i="21"/>
  <c r="J52" i="21"/>
  <c r="J51" i="21"/>
  <c r="J50" i="21"/>
  <c r="J49" i="21"/>
  <c r="J48" i="21"/>
  <c r="J47" i="21"/>
  <c r="J46" i="21"/>
  <c r="J45" i="21"/>
  <c r="J44" i="21"/>
  <c r="J43" i="21"/>
  <c r="J42" i="21"/>
  <c r="J41" i="21"/>
  <c r="J40" i="21"/>
  <c r="J39" i="21"/>
  <c r="J38" i="21"/>
  <c r="J37" i="21"/>
  <c r="J33" i="21"/>
  <c r="J20" i="21"/>
  <c r="J19" i="21"/>
  <c r="J18" i="21"/>
  <c r="J17" i="21"/>
  <c r="J16" i="21"/>
  <c r="J15" i="21"/>
  <c r="J14" i="21"/>
  <c r="J13" i="21"/>
  <c r="J12" i="21"/>
  <c r="J11" i="21"/>
  <c r="J10" i="21"/>
  <c r="G34" i="7" l="1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D37" i="7"/>
  <c r="H37" i="7" s="1"/>
  <c r="D38" i="7"/>
  <c r="H38" i="7" s="1"/>
  <c r="D39" i="7"/>
  <c r="H39" i="7" s="1"/>
  <c r="D40" i="7"/>
  <c r="H40" i="7" s="1"/>
  <c r="D41" i="7"/>
  <c r="H41" i="7" s="1"/>
  <c r="D42" i="7"/>
  <c r="H42" i="7" s="1"/>
  <c r="D43" i="7"/>
  <c r="H43" i="7" s="1"/>
  <c r="D44" i="7"/>
  <c r="H44" i="7" s="1"/>
  <c r="D45" i="7"/>
  <c r="H45" i="7" s="1"/>
  <c r="D46" i="7"/>
  <c r="H46" i="7" s="1"/>
  <c r="D47" i="7"/>
  <c r="H47" i="7" s="1"/>
  <c r="D48" i="7"/>
  <c r="H48" i="7" s="1"/>
  <c r="D49" i="7"/>
  <c r="H49" i="7" s="1"/>
  <c r="D50" i="7"/>
  <c r="H50" i="7" s="1"/>
  <c r="D51" i="7"/>
  <c r="H51" i="7" s="1"/>
  <c r="D52" i="7"/>
  <c r="H52" i="7" s="1"/>
  <c r="D53" i="7"/>
  <c r="H53" i="7" s="1"/>
  <c r="D54" i="7"/>
  <c r="H54" i="7" s="1"/>
  <c r="D55" i="7"/>
  <c r="H55" i="7" s="1"/>
  <c r="D56" i="7"/>
  <c r="H56" i="7" s="1"/>
  <c r="D57" i="7"/>
  <c r="H57" i="7" s="1"/>
  <c r="D58" i="7"/>
  <c r="H58" i="7" s="1"/>
  <c r="D59" i="7"/>
  <c r="H59" i="7" s="1"/>
  <c r="D60" i="7"/>
  <c r="H60" i="7" s="1"/>
  <c r="D61" i="7"/>
  <c r="H61" i="7" s="1"/>
  <c r="D62" i="7"/>
  <c r="H62" i="7" s="1"/>
  <c r="D63" i="7"/>
  <c r="H63" i="7" s="1"/>
  <c r="D64" i="7"/>
  <c r="H64" i="7" s="1"/>
  <c r="D65" i="7"/>
  <c r="H65" i="7" s="1"/>
  <c r="D66" i="7"/>
  <c r="H66" i="7" s="1"/>
  <c r="D67" i="7"/>
  <c r="H67" i="7" s="1"/>
  <c r="D68" i="7"/>
  <c r="H68" i="7" s="1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F33" i="7"/>
  <c r="E33" i="7"/>
  <c r="D33" i="7"/>
  <c r="H33" i="7" s="1"/>
  <c r="C33" i="7"/>
  <c r="D31" i="7"/>
  <c r="D32" i="7"/>
  <c r="C32" i="7"/>
  <c r="C31" i="7"/>
  <c r="C30" i="7"/>
  <c r="C29" i="7"/>
  <c r="C28" i="7"/>
  <c r="C27" i="7"/>
  <c r="C26" i="7"/>
  <c r="C25" i="7"/>
  <c r="C24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E18" i="7"/>
  <c r="E19" i="7"/>
  <c r="E20" i="7"/>
  <c r="D15" i="7"/>
  <c r="D16" i="7"/>
  <c r="D17" i="7"/>
  <c r="D18" i="7"/>
  <c r="D19" i="7"/>
  <c r="D20" i="7"/>
  <c r="C13" i="7"/>
  <c r="C14" i="7"/>
  <c r="C15" i="7"/>
  <c r="C16" i="7"/>
  <c r="C17" i="7"/>
  <c r="C18" i="7"/>
  <c r="C19" i="7"/>
  <c r="C20" i="7"/>
  <c r="C12" i="7"/>
  <c r="H34" i="19" l="1"/>
  <c r="H35" i="19"/>
  <c r="H36" i="19"/>
  <c r="H68" i="19" l="1"/>
  <c r="H67" i="19"/>
  <c r="H66" i="19"/>
  <c r="H65" i="19"/>
  <c r="H64" i="19"/>
  <c r="H63" i="19"/>
  <c r="H62" i="19"/>
  <c r="H61" i="19"/>
  <c r="H60" i="19"/>
  <c r="H59" i="19"/>
  <c r="H58" i="19"/>
  <c r="H57" i="19"/>
  <c r="H56" i="19"/>
  <c r="H55" i="19"/>
  <c r="H54" i="19"/>
  <c r="H53" i="19"/>
  <c r="H52" i="19"/>
  <c r="H51" i="19"/>
  <c r="H50" i="19"/>
  <c r="H49" i="19"/>
  <c r="H48" i="19"/>
  <c r="H47" i="19"/>
  <c r="H46" i="19"/>
  <c r="H45" i="19"/>
  <c r="H44" i="19"/>
  <c r="H43" i="19"/>
  <c r="H42" i="19"/>
  <c r="H41" i="19"/>
  <c r="H40" i="19"/>
  <c r="H39" i="19"/>
  <c r="H38" i="19"/>
  <c r="H37" i="19"/>
  <c r="H23" i="19"/>
  <c r="H22" i="19"/>
  <c r="H21" i="19"/>
  <c r="H20" i="19"/>
  <c r="H19" i="19"/>
  <c r="H18" i="19"/>
  <c r="H17" i="19"/>
  <c r="H16" i="19"/>
  <c r="H15" i="19"/>
  <c r="H14" i="19"/>
  <c r="H13" i="19"/>
  <c r="H12" i="19"/>
  <c r="H11" i="19"/>
  <c r="H10" i="19"/>
  <c r="H9" i="19"/>
  <c r="J68" i="18"/>
  <c r="J67" i="18"/>
  <c r="J66" i="18"/>
  <c r="J65" i="18"/>
  <c r="J64" i="18"/>
  <c r="J63" i="18"/>
  <c r="J62" i="18"/>
  <c r="J61" i="18"/>
  <c r="J60" i="18"/>
  <c r="J59" i="18"/>
  <c r="J58" i="18"/>
  <c r="J57" i="18"/>
  <c r="J56" i="18"/>
  <c r="J55" i="18"/>
  <c r="J54" i="18"/>
  <c r="J53" i="18"/>
  <c r="J52" i="18"/>
  <c r="J51" i="18"/>
  <c r="J50" i="18"/>
  <c r="J49" i="18"/>
  <c r="J48" i="18"/>
  <c r="J47" i="18"/>
  <c r="J46" i="18"/>
  <c r="J45" i="18"/>
  <c r="J44" i="18"/>
  <c r="J43" i="18"/>
  <c r="J42" i="18"/>
  <c r="J41" i="18"/>
  <c r="J40" i="18"/>
  <c r="J39" i="18"/>
  <c r="J38" i="18"/>
  <c r="J37" i="18"/>
  <c r="J33" i="18"/>
  <c r="J20" i="18"/>
  <c r="J19" i="18"/>
  <c r="J18" i="18"/>
  <c r="J17" i="18"/>
  <c r="J16" i="18"/>
  <c r="J15" i="18"/>
  <c r="J14" i="18"/>
  <c r="J13" i="18"/>
  <c r="J12" i="18"/>
  <c r="J11" i="18"/>
  <c r="J10" i="18"/>
  <c r="J20" i="17"/>
  <c r="J19" i="17"/>
  <c r="J18" i="17"/>
  <c r="J17" i="17"/>
  <c r="J16" i="17"/>
  <c r="J15" i="17"/>
  <c r="J14" i="17"/>
  <c r="J13" i="17"/>
  <c r="J12" i="17"/>
  <c r="J11" i="17"/>
  <c r="J10" i="17"/>
  <c r="J68" i="17"/>
  <c r="J67" i="17"/>
  <c r="J66" i="17"/>
  <c r="J65" i="17"/>
  <c r="J64" i="17"/>
  <c r="J63" i="17"/>
  <c r="J62" i="17"/>
  <c r="J61" i="17"/>
  <c r="J60" i="17"/>
  <c r="J59" i="17"/>
  <c r="J58" i="17"/>
  <c r="J57" i="17"/>
  <c r="J56" i="17"/>
  <c r="J55" i="17"/>
  <c r="J54" i="17"/>
  <c r="J53" i="17"/>
  <c r="J52" i="17"/>
  <c r="J51" i="17"/>
  <c r="J50" i="17"/>
  <c r="J49" i="17"/>
  <c r="J48" i="17"/>
  <c r="J47" i="17"/>
  <c r="J46" i="17"/>
  <c r="J45" i="17"/>
  <c r="J44" i="17"/>
  <c r="J43" i="17"/>
  <c r="J42" i="17"/>
  <c r="J41" i="17"/>
  <c r="J40" i="17"/>
  <c r="J39" i="17"/>
  <c r="J38" i="17"/>
  <c r="J37" i="17"/>
  <c r="J33" i="17"/>
  <c r="F44" i="19"/>
  <c r="F36" i="19"/>
  <c r="E35" i="19"/>
  <c r="F35" i="19"/>
  <c r="E34" i="19"/>
  <c r="F42" i="19"/>
  <c r="E36" i="19"/>
  <c r="F34" i="19"/>
  <c r="F52" i="19"/>
  <c r="E52" i="19"/>
  <c r="V6" i="23" l="1" a="1"/>
  <c r="V6" i="7" a="1"/>
  <c r="J68" i="14"/>
  <c r="J67" i="14"/>
  <c r="J66" i="14"/>
  <c r="J65" i="14"/>
  <c r="J64" i="14"/>
  <c r="J63" i="14"/>
  <c r="J62" i="14"/>
  <c r="J61" i="14"/>
  <c r="J60" i="14"/>
  <c r="J59" i="14"/>
  <c r="J58" i="14"/>
  <c r="J57" i="14"/>
  <c r="J56" i="14"/>
  <c r="J55" i="14"/>
  <c r="J54" i="14"/>
  <c r="J53" i="14"/>
  <c r="J52" i="14"/>
  <c r="J51" i="14"/>
  <c r="J50" i="14"/>
  <c r="J49" i="14"/>
  <c r="J48" i="14"/>
  <c r="J47" i="14"/>
  <c r="J46" i="14"/>
  <c r="J45" i="14"/>
  <c r="J44" i="14"/>
  <c r="J43" i="14"/>
  <c r="J41" i="14"/>
  <c r="J40" i="14"/>
  <c r="J39" i="14"/>
  <c r="J38" i="14"/>
  <c r="J37" i="14"/>
  <c r="J33" i="14"/>
  <c r="J42" i="14"/>
  <c r="J20" i="14"/>
  <c r="J19" i="14"/>
  <c r="J18" i="14"/>
  <c r="J17" i="14"/>
  <c r="J16" i="14"/>
  <c r="J15" i="14"/>
  <c r="J14" i="14"/>
  <c r="J13" i="14"/>
  <c r="J12" i="14"/>
  <c r="J11" i="14"/>
  <c r="J10" i="14"/>
  <c r="J9" i="14"/>
  <c r="D13" i="2"/>
  <c r="E53" i="19"/>
  <c r="F51" i="19"/>
  <c r="E57" i="19"/>
  <c r="F55" i="19"/>
  <c r="E58" i="19"/>
  <c r="F62" i="19"/>
  <c r="F57" i="19"/>
  <c r="F49" i="19"/>
  <c r="E37" i="19"/>
  <c r="E65" i="19"/>
  <c r="E66" i="19"/>
  <c r="F40" i="19"/>
  <c r="E61" i="19"/>
  <c r="E62" i="19"/>
  <c r="F60" i="19"/>
  <c r="E49" i="19"/>
  <c r="E55" i="19"/>
  <c r="F61" i="19"/>
  <c r="E56" i="19"/>
  <c r="F54" i="19"/>
  <c r="F48" i="19"/>
  <c r="F37" i="19"/>
  <c r="E40" i="19"/>
  <c r="E50" i="19"/>
  <c r="F56" i="19"/>
  <c r="E68" i="19"/>
  <c r="F47" i="19"/>
  <c r="E60" i="19"/>
  <c r="E59" i="19"/>
  <c r="F67" i="19"/>
  <c r="E44" i="19"/>
  <c r="E45" i="19"/>
  <c r="E54" i="19"/>
  <c r="F58" i="19"/>
  <c r="F45" i="19"/>
  <c r="E63" i="19"/>
  <c r="E47" i="19"/>
  <c r="E67" i="19"/>
  <c r="F50" i="19"/>
  <c r="F53" i="19"/>
  <c r="E51" i="19"/>
  <c r="F43" i="19"/>
  <c r="F38" i="19"/>
  <c r="E46" i="19"/>
  <c r="F63" i="19"/>
  <c r="F46" i="19"/>
  <c r="F66" i="19"/>
  <c r="E39" i="19"/>
  <c r="F65" i="19"/>
  <c r="E48" i="19"/>
  <c r="E38" i="19"/>
  <c r="F68" i="19"/>
  <c r="E64" i="19"/>
  <c r="F41" i="19"/>
  <c r="E41" i="19"/>
  <c r="E43" i="19"/>
  <c r="F64" i="19"/>
  <c r="F39" i="19"/>
  <c r="E42" i="19"/>
  <c r="F59" i="19"/>
  <c r="V62" i="7" l="1"/>
  <c r="V67" i="7"/>
  <c r="V60" i="7"/>
  <c r="V59" i="7"/>
  <c r="V49" i="7"/>
  <c r="V47" i="7"/>
  <c r="V46" i="7"/>
  <c r="V45" i="7"/>
  <c r="V40" i="7"/>
  <c r="V58" i="7"/>
  <c r="V52" i="7"/>
  <c r="V51" i="7"/>
  <c r="V41" i="7"/>
  <c r="V39" i="7"/>
  <c r="V38" i="7"/>
  <c r="V37" i="7"/>
  <c r="V32" i="7"/>
  <c r="V50" i="7"/>
  <c r="V44" i="7"/>
  <c r="V43" i="7"/>
  <c r="V33" i="7"/>
  <c r="V31" i="7"/>
  <c r="W31" i="7" s="1"/>
  <c r="V30" i="7"/>
  <c r="W30" i="7" s="1"/>
  <c r="V29" i="7"/>
  <c r="W29" i="7" s="1"/>
  <c r="V24" i="7"/>
  <c r="V42" i="7"/>
  <c r="V36" i="7"/>
  <c r="V35" i="7"/>
  <c r="V25" i="7"/>
  <c r="W25" i="7" s="1"/>
  <c r="V23" i="7"/>
  <c r="V22" i="7"/>
  <c r="V21" i="7"/>
  <c r="V16" i="7"/>
  <c r="V34" i="7"/>
  <c r="V28" i="7"/>
  <c r="W28" i="7" s="1"/>
  <c r="V27" i="7"/>
  <c r="W27" i="7" s="1"/>
  <c r="V17" i="7"/>
  <c r="V15" i="7"/>
  <c r="V14" i="7"/>
  <c r="V13" i="7"/>
  <c r="V8" i="7"/>
  <c r="V26" i="7"/>
  <c r="W26" i="7" s="1"/>
  <c r="V20" i="7"/>
  <c r="V19" i="7"/>
  <c r="V18" i="7"/>
  <c r="V53" i="7"/>
  <c r="V10" i="7"/>
  <c r="V68" i="7"/>
  <c r="V63" i="7"/>
  <c r="V65" i="7"/>
  <c r="V11" i="7"/>
  <c r="V54" i="7"/>
  <c r="V56" i="7"/>
  <c r="V64" i="7"/>
  <c r="V6" i="7"/>
  <c r="V48" i="7"/>
  <c r="V55" i="7"/>
  <c r="V66" i="7"/>
  <c r="V7" i="7"/>
  <c r="W7" i="7" s="1"/>
  <c r="V12" i="7"/>
  <c r="V57" i="7"/>
  <c r="V9" i="7"/>
  <c r="V61" i="7"/>
  <c r="V10" i="23"/>
  <c r="V68" i="23"/>
  <c r="V63" i="23"/>
  <c r="V54" i="23"/>
  <c r="V53" i="23"/>
  <c r="V51" i="23"/>
  <c r="V49" i="23"/>
  <c r="V48" i="23"/>
  <c r="V42" i="23"/>
  <c r="V60" i="23"/>
  <c r="V55" i="23"/>
  <c r="V46" i="23"/>
  <c r="V45" i="23"/>
  <c r="V43" i="23"/>
  <c r="V41" i="23"/>
  <c r="V40" i="23"/>
  <c r="V34" i="23"/>
  <c r="V52" i="23"/>
  <c r="V47" i="23"/>
  <c r="V38" i="23"/>
  <c r="V37" i="23"/>
  <c r="V35" i="23"/>
  <c r="V33" i="23"/>
  <c r="V32" i="23"/>
  <c r="V26" i="23"/>
  <c r="W26" i="23" s="1"/>
  <c r="X26" i="23" s="1"/>
  <c r="V44" i="23"/>
  <c r="V39" i="23"/>
  <c r="V30" i="23"/>
  <c r="W30" i="23" s="1"/>
  <c r="X30" i="23" s="1"/>
  <c r="V29" i="23"/>
  <c r="W29" i="23" s="1"/>
  <c r="X29" i="23" s="1"/>
  <c r="V27" i="23"/>
  <c r="W27" i="23" s="1"/>
  <c r="X27" i="23" s="1"/>
  <c r="V25" i="23"/>
  <c r="W25" i="23" s="1"/>
  <c r="X25" i="23" s="1"/>
  <c r="V24" i="23"/>
  <c r="V18" i="23"/>
  <c r="V36" i="23"/>
  <c r="V31" i="23"/>
  <c r="V22" i="23"/>
  <c r="V21" i="23"/>
  <c r="V19" i="23"/>
  <c r="V17" i="23"/>
  <c r="V16" i="23"/>
  <c r="V28" i="23"/>
  <c r="W28" i="23" s="1"/>
  <c r="X28" i="23" s="1"/>
  <c r="V23" i="23"/>
  <c r="V14" i="23"/>
  <c r="V6" i="23"/>
  <c r="W6" i="23" s="1"/>
  <c r="X6" i="23" s="1"/>
  <c r="V67" i="23"/>
  <c r="V9" i="23"/>
  <c r="V59" i="23"/>
  <c r="V20" i="23"/>
  <c r="V11" i="23"/>
  <c r="V12" i="23"/>
  <c r="V61" i="23"/>
  <c r="V15" i="23"/>
  <c r="V13" i="23"/>
  <c r="V64" i="23"/>
  <c r="V66" i="23"/>
  <c r="V7" i="23"/>
  <c r="W7" i="23" s="1"/>
  <c r="X7" i="23" s="1"/>
  <c r="V56" i="23"/>
  <c r="V58" i="23"/>
  <c r="V65" i="23"/>
  <c r="V8" i="23"/>
  <c r="V50" i="23"/>
  <c r="V62" i="23"/>
  <c r="V57" i="23"/>
  <c r="W31" i="23"/>
  <c r="X31" i="23" s="1"/>
  <c r="W24" i="23"/>
  <c r="X24" i="23" s="1"/>
  <c r="W8" i="7"/>
  <c r="W24" i="7"/>
  <c r="W32" i="7"/>
  <c r="AJ7" i="7"/>
  <c r="AJ6" i="7"/>
  <c r="AI7" i="7"/>
  <c r="AI6" i="7"/>
  <c r="AH23" i="7"/>
  <c r="AH22" i="7"/>
  <c r="AH21" i="7"/>
  <c r="AH7" i="7"/>
  <c r="AH6" i="7"/>
  <c r="AG23" i="7"/>
  <c r="AG22" i="7"/>
  <c r="AG21" i="7"/>
  <c r="AG7" i="7"/>
  <c r="AG6" i="7"/>
  <c r="AF23" i="7"/>
  <c r="AF22" i="7"/>
  <c r="AF21" i="7"/>
  <c r="AF7" i="7"/>
  <c r="AF6" i="7"/>
  <c r="AE23" i="7"/>
  <c r="AE22" i="7"/>
  <c r="AE21" i="7"/>
  <c r="AE7" i="7"/>
  <c r="AE6" i="7"/>
  <c r="AD23" i="7"/>
  <c r="AD22" i="7"/>
  <c r="AD21" i="7"/>
  <c r="AD7" i="7"/>
  <c r="AD6" i="7"/>
  <c r="AC23" i="7"/>
  <c r="AC22" i="7"/>
  <c r="AC21" i="7"/>
  <c r="AC7" i="7"/>
  <c r="AC6" i="7"/>
  <c r="AJ36" i="7"/>
  <c r="AI36" i="7"/>
  <c r="AJ35" i="7"/>
  <c r="AI35" i="7"/>
  <c r="AJ34" i="7"/>
  <c r="AI34" i="7"/>
  <c r="AG35" i="7"/>
  <c r="AH36" i="7"/>
  <c r="AG36" i="7"/>
  <c r="AG34" i="7"/>
  <c r="AH35" i="7"/>
  <c r="AH34" i="7"/>
  <c r="AE36" i="7"/>
  <c r="AE35" i="7"/>
  <c r="AE34" i="7"/>
  <c r="AF36" i="7"/>
  <c r="AF35" i="7"/>
  <c r="AF34" i="7"/>
  <c r="AC34" i="7"/>
  <c r="AD34" i="7"/>
  <c r="AC35" i="7"/>
  <c r="AD35" i="7"/>
  <c r="AL27" i="7"/>
  <c r="AK30" i="7"/>
  <c r="AL26" i="7"/>
  <c r="AK29" i="7"/>
  <c r="AK28" i="7"/>
  <c r="AL32" i="7"/>
  <c r="AK27" i="7"/>
  <c r="AK26" i="7"/>
  <c r="AL30" i="7"/>
  <c r="AL29" i="7"/>
  <c r="AK32" i="7"/>
  <c r="AL28" i="7"/>
  <c r="AK31" i="7"/>
  <c r="AL31" i="7"/>
  <c r="AK25" i="7"/>
  <c r="AL25" i="7"/>
  <c r="W8" i="23" l="1"/>
  <c r="F2" i="21"/>
  <c r="AK35" i="23"/>
  <c r="AK34" i="23"/>
  <c r="AK36" i="23"/>
  <c r="M9" i="21"/>
  <c r="M14" i="21"/>
  <c r="M12" i="21"/>
  <c r="M16" i="21"/>
  <c r="M15" i="21"/>
  <c r="M19" i="21"/>
  <c r="M10" i="21"/>
  <c r="M13" i="21"/>
  <c r="M11" i="21"/>
  <c r="M25" i="21"/>
  <c r="M18" i="21"/>
  <c r="M20" i="21"/>
  <c r="M17" i="21"/>
  <c r="X8" i="23" l="1"/>
  <c r="F3" i="21"/>
  <c r="D2" i="19"/>
  <c r="F2" i="18"/>
  <c r="F2" i="17"/>
  <c r="AL36" i="23"/>
  <c r="AL34" i="23"/>
  <c r="AL35" i="23"/>
  <c r="B1" i="2"/>
  <c r="M14" i="17"/>
  <c r="M16" i="18"/>
  <c r="D5" i="2"/>
  <c r="M10" i="17"/>
  <c r="M15" i="18"/>
  <c r="M10" i="18"/>
  <c r="M14" i="18"/>
  <c r="M19" i="17"/>
  <c r="M11" i="17"/>
  <c r="M13" i="18"/>
  <c r="M11" i="18"/>
  <c r="M13" i="17"/>
  <c r="M9" i="18"/>
  <c r="M18" i="18"/>
  <c r="D25" i="14" a="1"/>
  <c r="M12" i="18"/>
  <c r="M25" i="18"/>
  <c r="M12" i="17"/>
  <c r="D25" i="18" a="1"/>
  <c r="M19" i="18"/>
  <c r="M20" i="17"/>
  <c r="M17" i="18"/>
  <c r="D25" i="21" a="1"/>
  <c r="M15" i="17"/>
  <c r="M16" i="17"/>
  <c r="M17" i="17"/>
  <c r="M20" i="18"/>
  <c r="M9" i="17"/>
  <c r="M18" i="17"/>
  <c r="D68" i="19" l="1"/>
  <c r="D60" i="19"/>
  <c r="D52" i="19"/>
  <c r="D44" i="19"/>
  <c r="D36" i="19"/>
  <c r="D18" i="19"/>
  <c r="D10" i="19"/>
  <c r="D67" i="19"/>
  <c r="D59" i="19"/>
  <c r="D51" i="19"/>
  <c r="D43" i="19"/>
  <c r="D35" i="19"/>
  <c r="D17" i="19"/>
  <c r="D9" i="19"/>
  <c r="D66" i="19"/>
  <c r="D58" i="19"/>
  <c r="D50" i="19"/>
  <c r="D42" i="19"/>
  <c r="D34" i="19"/>
  <c r="D16" i="19"/>
  <c r="D65" i="19"/>
  <c r="D49" i="19"/>
  <c r="D41" i="19"/>
  <c r="D23" i="19"/>
  <c r="D15" i="19"/>
  <c r="D48" i="19"/>
  <c r="D57" i="19"/>
  <c r="D64" i="19"/>
  <c r="D56" i="19"/>
  <c r="D63" i="19"/>
  <c r="D45" i="19"/>
  <c r="D19" i="19"/>
  <c r="D62" i="19"/>
  <c r="D40" i="19"/>
  <c r="D14" i="19"/>
  <c r="D61" i="19"/>
  <c r="D39" i="19"/>
  <c r="D13" i="19"/>
  <c r="D55" i="19"/>
  <c r="D38" i="19"/>
  <c r="D12" i="19"/>
  <c r="D54" i="19"/>
  <c r="D37" i="19"/>
  <c r="D11" i="19"/>
  <c r="D53" i="19"/>
  <c r="D22" i="19"/>
  <c r="D21" i="19"/>
  <c r="D20" i="19"/>
  <c r="D47" i="19"/>
  <c r="D46" i="19"/>
  <c r="D29" i="14"/>
  <c r="D30" i="14"/>
  <c r="D31" i="14"/>
  <c r="D26" i="14"/>
  <c r="D32" i="14"/>
  <c r="D25" i="14"/>
  <c r="D27" i="14"/>
  <c r="D28" i="14"/>
  <c r="D31" i="21"/>
  <c r="J31" i="21" s="1"/>
  <c r="D25" i="21"/>
  <c r="J25" i="21" s="1"/>
  <c r="D26" i="21"/>
  <c r="J26" i="21" s="1"/>
  <c r="D28" i="21"/>
  <c r="J28" i="21" s="1"/>
  <c r="D29" i="21"/>
  <c r="J29" i="21" s="1"/>
  <c r="D27" i="21"/>
  <c r="J27" i="21" s="1"/>
  <c r="D30" i="21"/>
  <c r="J30" i="21" s="1"/>
  <c r="D32" i="21"/>
  <c r="J32" i="21" s="1"/>
  <c r="D30" i="18"/>
  <c r="J30" i="18" s="1"/>
  <c r="D31" i="18"/>
  <c r="J31" i="18" s="1"/>
  <c r="D32" i="18"/>
  <c r="J32" i="18" s="1"/>
  <c r="D25" i="18"/>
  <c r="J25" i="18" s="1"/>
  <c r="D26" i="18"/>
  <c r="J26" i="18" s="1"/>
  <c r="D27" i="18"/>
  <c r="J27" i="18" s="1"/>
  <c r="D28" i="18"/>
  <c r="J28" i="18" s="1"/>
  <c r="D29" i="18"/>
  <c r="J29" i="18" s="1"/>
  <c r="F3" i="18"/>
  <c r="F3" i="17"/>
  <c r="F3" i="14"/>
  <c r="G26" i="18"/>
  <c r="G25" i="18"/>
  <c r="G26" i="21"/>
  <c r="C24" i="14"/>
  <c r="D25" i="17" a="1"/>
  <c r="C24" i="17"/>
  <c r="G30" i="21"/>
  <c r="G32" i="21"/>
  <c r="C24" i="21"/>
  <c r="G31" i="21"/>
  <c r="G30" i="18"/>
  <c r="G27" i="18"/>
  <c r="G28" i="21"/>
  <c r="G29" i="18"/>
  <c r="D18" i="2"/>
  <c r="G29" i="21"/>
  <c r="G31" i="18"/>
  <c r="H32" i="21"/>
  <c r="C24" i="18"/>
  <c r="G32" i="18"/>
  <c r="G27" i="21"/>
  <c r="G28" i="18"/>
  <c r="G25" i="21"/>
  <c r="D27" i="17" l="1"/>
  <c r="K27" i="17" s="1"/>
  <c r="D28" i="17"/>
  <c r="J28" i="17" s="1"/>
  <c r="D31" i="17"/>
  <c r="J31" i="17" s="1"/>
  <c r="D32" i="17"/>
  <c r="J32" i="17" s="1"/>
  <c r="D25" i="17"/>
  <c r="J25" i="17" s="1"/>
  <c r="D30" i="17"/>
  <c r="D29" i="17"/>
  <c r="D26" i="17"/>
  <c r="J26" i="17" s="1"/>
  <c r="J27" i="17"/>
  <c r="B25" i="7" a="1"/>
  <c r="B25" i="7" s="1"/>
  <c r="D24" i="14"/>
  <c r="J24" i="14" s="1"/>
  <c r="D24" i="17"/>
  <c r="J24" i="17" s="1"/>
  <c r="D24" i="18"/>
  <c r="J24" i="18" s="1"/>
  <c r="D24" i="21"/>
  <c r="J24" i="21" s="1"/>
  <c r="D19" i="2"/>
  <c r="H29" i="18"/>
  <c r="K66" i="24"/>
  <c r="F28" i="18"/>
  <c r="K64" i="24"/>
  <c r="K44" i="24"/>
  <c r="K61" i="24"/>
  <c r="H25" i="21"/>
  <c r="G32" i="17"/>
  <c r="G28" i="17"/>
  <c r="K59" i="24"/>
  <c r="H25" i="18"/>
  <c r="K58" i="24"/>
  <c r="K47" i="24"/>
  <c r="K50" i="24"/>
  <c r="K67" i="24"/>
  <c r="K39" i="24"/>
  <c r="K60" i="24"/>
  <c r="K33" i="24"/>
  <c r="G31" i="17"/>
  <c r="H31" i="17" s="1"/>
  <c r="F31" i="17"/>
  <c r="K52" i="24"/>
  <c r="H31" i="18"/>
  <c r="H30" i="21"/>
  <c r="K46" i="24"/>
  <c r="F27" i="21"/>
  <c r="F31" i="18"/>
  <c r="G26" i="17"/>
  <c r="H26" i="21"/>
  <c r="H30" i="18"/>
  <c r="F29" i="21"/>
  <c r="F31" i="21"/>
  <c r="G30" i="17"/>
  <c r="H27" i="18"/>
  <c r="G27" i="17"/>
  <c r="H30" i="17"/>
  <c r="K49" i="24"/>
  <c r="F30" i="21"/>
  <c r="H28" i="18"/>
  <c r="F29" i="18"/>
  <c r="H28" i="21"/>
  <c r="H31" i="21"/>
  <c r="K56" i="24"/>
  <c r="K62" i="24"/>
  <c r="K40" i="24"/>
  <c r="K55" i="24"/>
  <c r="K51" i="24"/>
  <c r="K38" i="24"/>
  <c r="K57" i="24"/>
  <c r="H27" i="21"/>
  <c r="K45" i="24"/>
  <c r="K53" i="24"/>
  <c r="K54" i="24"/>
  <c r="F32" i="18"/>
  <c r="K41" i="24"/>
  <c r="F27" i="18"/>
  <c r="H29" i="21"/>
  <c r="K65" i="24"/>
  <c r="K37" i="24"/>
  <c r="F25" i="21"/>
  <c r="G29" i="17"/>
  <c r="F25" i="18"/>
  <c r="H26" i="18"/>
  <c r="K63" i="24"/>
  <c r="G25" i="17"/>
  <c r="F26" i="21"/>
  <c r="F30" i="18"/>
  <c r="K42" i="24"/>
  <c r="F32" i="21"/>
  <c r="K48" i="24"/>
  <c r="K43" i="24"/>
  <c r="K68" i="24"/>
  <c r="F26" i="18"/>
  <c r="F28" i="21"/>
  <c r="H32" i="18"/>
  <c r="K31" i="17" l="1"/>
  <c r="K26" i="17"/>
  <c r="K29" i="17"/>
  <c r="J29" i="17"/>
  <c r="K25" i="17"/>
  <c r="K30" i="17"/>
  <c r="J30" i="17"/>
  <c r="K28" i="17"/>
  <c r="K32" i="17"/>
  <c r="B27" i="7"/>
  <c r="B28" i="7"/>
  <c r="B30" i="7"/>
  <c r="B32" i="7"/>
  <c r="B31" i="7"/>
  <c r="B26" i="7"/>
  <c r="B29" i="7"/>
  <c r="S6" i="23" a="1"/>
  <c r="S6" i="7" a="1"/>
  <c r="P6" i="23" a="1"/>
  <c r="P6" i="7" a="1"/>
  <c r="X26" i="7"/>
  <c r="X30" i="7"/>
  <c r="X31" i="7"/>
  <c r="X29" i="7"/>
  <c r="X28" i="7"/>
  <c r="X32" i="7"/>
  <c r="X25" i="7"/>
  <c r="X27" i="7"/>
  <c r="D12" i="2"/>
  <c r="AK24" i="7"/>
  <c r="H27" i="17"/>
  <c r="H25" i="17"/>
  <c r="H32" i="17"/>
  <c r="M49" i="21"/>
  <c r="M60" i="18"/>
  <c r="M44" i="21"/>
  <c r="M59" i="17"/>
  <c r="M47" i="18"/>
  <c r="M45" i="18"/>
  <c r="M54" i="14"/>
  <c r="M60" i="14"/>
  <c r="M59" i="14"/>
  <c r="M46" i="17"/>
  <c r="M53" i="21"/>
  <c r="M41" i="14"/>
  <c r="M50" i="18"/>
  <c r="M57" i="21"/>
  <c r="M65" i="14"/>
  <c r="M43" i="17"/>
  <c r="M63" i="14"/>
  <c r="F30" i="17"/>
  <c r="F29" i="17"/>
  <c r="M17" i="14"/>
  <c r="M15" i="14"/>
  <c r="M49" i="18"/>
  <c r="M52" i="18"/>
  <c r="M51" i="17"/>
  <c r="M62" i="18"/>
  <c r="M57" i="14"/>
  <c r="M47" i="17"/>
  <c r="M56" i="14"/>
  <c r="M33" i="18"/>
  <c r="M63" i="21"/>
  <c r="M45" i="14"/>
  <c r="M57" i="17"/>
  <c r="M45" i="17"/>
  <c r="F26" i="17"/>
  <c r="M14" i="14"/>
  <c r="M12" i="14"/>
  <c r="M44" i="17"/>
  <c r="M40" i="17"/>
  <c r="M56" i="18"/>
  <c r="M46" i="18"/>
  <c r="M43" i="21"/>
  <c r="M62" i="17"/>
  <c r="M46" i="14"/>
  <c r="M58" i="18"/>
  <c r="M48" i="18"/>
  <c r="M37" i="18"/>
  <c r="M20" i="14"/>
  <c r="M13" i="14"/>
  <c r="F32" i="17"/>
  <c r="M41" i="17"/>
  <c r="M39" i="18"/>
  <c r="M66" i="18"/>
  <c r="M57" i="18"/>
  <c r="M67" i="17"/>
  <c r="M63" i="18"/>
  <c r="M39" i="21"/>
  <c r="M59" i="21"/>
  <c r="M39" i="17"/>
  <c r="M67" i="14"/>
  <c r="M51" i="14"/>
  <c r="M49" i="17"/>
  <c r="M38" i="14"/>
  <c r="M48" i="14"/>
  <c r="M68" i="18"/>
  <c r="M43" i="18"/>
  <c r="M45" i="21"/>
  <c r="M38" i="17"/>
  <c r="M41" i="18"/>
  <c r="H26" i="17"/>
  <c r="M44" i="18"/>
  <c r="M48" i="21"/>
  <c r="M42" i="18"/>
  <c r="M38" i="18"/>
  <c r="M65" i="18"/>
  <c r="M41" i="21"/>
  <c r="M40" i="21"/>
  <c r="M65" i="17"/>
  <c r="D20" i="2"/>
  <c r="M19" i="14"/>
  <c r="H29" i="17"/>
  <c r="M62" i="21"/>
  <c r="M51" i="21"/>
  <c r="M61" i="18"/>
  <c r="M56" i="17"/>
  <c r="M55" i="17"/>
  <c r="M64" i="18"/>
  <c r="M50" i="14"/>
  <c r="M37" i="21"/>
  <c r="M67" i="21"/>
  <c r="M48" i="17"/>
  <c r="M40" i="14"/>
  <c r="M52" i="14"/>
  <c r="M43" i="14"/>
  <c r="M64" i="14"/>
  <c r="M68" i="14"/>
  <c r="M56" i="21"/>
  <c r="M61" i="21"/>
  <c r="F27" i="17"/>
  <c r="M18" i="14"/>
  <c r="M10" i="14"/>
  <c r="M65" i="21"/>
  <c r="M33" i="17"/>
  <c r="M68" i="21"/>
  <c r="M49" i="14"/>
  <c r="M55" i="21"/>
  <c r="M62" i="14"/>
  <c r="M42" i="17"/>
  <c r="M40" i="18"/>
  <c r="M53" i="17"/>
  <c r="M54" i="18"/>
  <c r="M47" i="14"/>
  <c r="M58" i="21"/>
  <c r="M50" i="21"/>
  <c r="M54" i="17"/>
  <c r="M55" i="18"/>
  <c r="M60" i="21"/>
  <c r="M37" i="14"/>
  <c r="M33" i="21"/>
  <c r="M66" i="14"/>
  <c r="M60" i="17"/>
  <c r="M64" i="21"/>
  <c r="M42" i="14"/>
  <c r="M52" i="21"/>
  <c r="M59" i="18"/>
  <c r="M58" i="17"/>
  <c r="F25" i="17"/>
  <c r="M11" i="14"/>
  <c r="M16" i="14"/>
  <c r="M55" i="14"/>
  <c r="M38" i="21"/>
  <c r="M61" i="14"/>
  <c r="M63" i="17"/>
  <c r="M58" i="14"/>
  <c r="M52" i="17"/>
  <c r="M39" i="14"/>
  <c r="M37" i="17"/>
  <c r="M50" i="17"/>
  <c r="M33" i="14"/>
  <c r="M44" i="14"/>
  <c r="M53" i="18"/>
  <c r="M53" i="14"/>
  <c r="M66" i="17"/>
  <c r="M68" i="17"/>
  <c r="M42" i="21"/>
  <c r="M67" i="18"/>
  <c r="H28" i="17"/>
  <c r="F28" i="17"/>
  <c r="M51" i="18"/>
  <c r="M46" i="21"/>
  <c r="M54" i="21"/>
  <c r="M64" i="17"/>
  <c r="M66" i="21"/>
  <c r="M47" i="21"/>
  <c r="M61" i="17"/>
  <c r="M6" i="7" l="1" a="1"/>
  <c r="M33" i="7" s="1"/>
  <c r="M6" i="23" a="1"/>
  <c r="M60" i="23" s="1"/>
  <c r="M18" i="7"/>
  <c r="M59" i="7"/>
  <c r="P12" i="23"/>
  <c r="P20" i="23"/>
  <c r="P28" i="23"/>
  <c r="P36" i="23"/>
  <c r="Q36" i="23" s="1"/>
  <c r="R36" i="23" s="1"/>
  <c r="P44" i="23"/>
  <c r="P52" i="23"/>
  <c r="P60" i="23"/>
  <c r="P68" i="23"/>
  <c r="P13" i="23"/>
  <c r="P21" i="23"/>
  <c r="Q21" i="23" s="1"/>
  <c r="R21" i="23" s="1"/>
  <c r="P29" i="23"/>
  <c r="P37" i="23"/>
  <c r="P45" i="23"/>
  <c r="P53" i="23"/>
  <c r="P61" i="23"/>
  <c r="P15" i="23"/>
  <c r="P25" i="23"/>
  <c r="P35" i="23"/>
  <c r="Q35" i="23" s="1"/>
  <c r="R35" i="23" s="1"/>
  <c r="P47" i="23"/>
  <c r="P57" i="23"/>
  <c r="P67" i="23"/>
  <c r="P6" i="23"/>
  <c r="Q6" i="23" s="1"/>
  <c r="R6" i="23" s="1"/>
  <c r="P16" i="23"/>
  <c r="P26" i="23"/>
  <c r="P38" i="23"/>
  <c r="P48" i="23"/>
  <c r="P58" i="23"/>
  <c r="P7" i="23"/>
  <c r="Q7" i="23" s="1"/>
  <c r="R7" i="23" s="1"/>
  <c r="P17" i="23"/>
  <c r="P27" i="23"/>
  <c r="P39" i="23"/>
  <c r="P49" i="23"/>
  <c r="P59" i="23"/>
  <c r="P8" i="23"/>
  <c r="Q8" i="23" s="1"/>
  <c r="R8" i="23" s="1"/>
  <c r="P18" i="23"/>
  <c r="P30" i="23"/>
  <c r="P40" i="23"/>
  <c r="P50" i="23"/>
  <c r="P62" i="23"/>
  <c r="P9" i="23"/>
  <c r="P19" i="23"/>
  <c r="P31" i="23"/>
  <c r="P41" i="23"/>
  <c r="P51" i="23"/>
  <c r="P63" i="23"/>
  <c r="P10" i="23"/>
  <c r="P22" i="23"/>
  <c r="Q22" i="23" s="1"/>
  <c r="R22" i="23" s="1"/>
  <c r="P32" i="23"/>
  <c r="P42" i="23"/>
  <c r="P54" i="23"/>
  <c r="P64" i="23"/>
  <c r="P24" i="23"/>
  <c r="P66" i="23"/>
  <c r="P33" i="23"/>
  <c r="P34" i="23"/>
  <c r="Q34" i="23" s="1"/>
  <c r="R34" i="23" s="1"/>
  <c r="P43" i="23"/>
  <c r="P46" i="23"/>
  <c r="P11" i="23"/>
  <c r="P55" i="23"/>
  <c r="P14" i="23"/>
  <c r="P56" i="23"/>
  <c r="P23" i="23"/>
  <c r="Q23" i="23" s="1"/>
  <c r="R23" i="23" s="1"/>
  <c r="P65" i="23"/>
  <c r="P9" i="7"/>
  <c r="P17" i="7"/>
  <c r="P25" i="7"/>
  <c r="P33" i="7"/>
  <c r="P41" i="7"/>
  <c r="P49" i="7"/>
  <c r="P57" i="7"/>
  <c r="P65" i="7"/>
  <c r="P7" i="7"/>
  <c r="Q7" i="7" s="1"/>
  <c r="R7" i="7" s="1"/>
  <c r="P16" i="7"/>
  <c r="P26" i="7"/>
  <c r="P35" i="7"/>
  <c r="Q35" i="7" s="1"/>
  <c r="P44" i="7"/>
  <c r="P53" i="7"/>
  <c r="P62" i="7"/>
  <c r="P8" i="7"/>
  <c r="Q8" i="7" s="1"/>
  <c r="P18" i="7"/>
  <c r="P27" i="7"/>
  <c r="P36" i="7"/>
  <c r="Q36" i="7" s="1"/>
  <c r="P45" i="7"/>
  <c r="P54" i="7"/>
  <c r="P63" i="7"/>
  <c r="P10" i="7"/>
  <c r="P19" i="7"/>
  <c r="P28" i="7"/>
  <c r="P37" i="7"/>
  <c r="P46" i="7"/>
  <c r="P55" i="7"/>
  <c r="P64" i="7"/>
  <c r="P11" i="7"/>
  <c r="P20" i="7"/>
  <c r="P29" i="7"/>
  <c r="P38" i="7"/>
  <c r="P47" i="7"/>
  <c r="P56" i="7"/>
  <c r="P66" i="7"/>
  <c r="P12" i="7"/>
  <c r="P21" i="7"/>
  <c r="P30" i="7"/>
  <c r="P39" i="7"/>
  <c r="P48" i="7"/>
  <c r="P58" i="7"/>
  <c r="P67" i="7"/>
  <c r="P13" i="7"/>
  <c r="P34" i="7"/>
  <c r="P60" i="7"/>
  <c r="P14" i="7"/>
  <c r="P40" i="7"/>
  <c r="P61" i="7"/>
  <c r="P15" i="7"/>
  <c r="P42" i="7"/>
  <c r="P68" i="7"/>
  <c r="P22" i="7"/>
  <c r="P43" i="7"/>
  <c r="P23" i="7"/>
  <c r="P50" i="7"/>
  <c r="P24" i="7"/>
  <c r="P51" i="7"/>
  <c r="P52" i="7"/>
  <c r="P32" i="7"/>
  <c r="P31" i="7"/>
  <c r="P6" i="7"/>
  <c r="Q6" i="7" s="1"/>
  <c r="P59" i="7"/>
  <c r="S9" i="7"/>
  <c r="S17" i="7"/>
  <c r="S25" i="7"/>
  <c r="S33" i="7"/>
  <c r="S41" i="7"/>
  <c r="S49" i="7"/>
  <c r="S57" i="7"/>
  <c r="S65" i="7"/>
  <c r="S10" i="7"/>
  <c r="S18" i="7"/>
  <c r="S26" i="7"/>
  <c r="S34" i="7"/>
  <c r="S42" i="7"/>
  <c r="S12" i="7"/>
  <c r="S22" i="7"/>
  <c r="T22" i="7" s="1"/>
  <c r="S32" i="7"/>
  <c r="S44" i="7"/>
  <c r="S53" i="7"/>
  <c r="S62" i="7"/>
  <c r="S13" i="7"/>
  <c r="S23" i="7"/>
  <c r="T23" i="7" s="1"/>
  <c r="S35" i="7"/>
  <c r="T35" i="7" s="1"/>
  <c r="S45" i="7"/>
  <c r="S54" i="7"/>
  <c r="S63" i="7"/>
  <c r="S14" i="7"/>
  <c r="S24" i="7"/>
  <c r="S36" i="7"/>
  <c r="T36" i="7" s="1"/>
  <c r="S46" i="7"/>
  <c r="S55" i="7"/>
  <c r="S64" i="7"/>
  <c r="S15" i="7"/>
  <c r="S27" i="7"/>
  <c r="S37" i="7"/>
  <c r="S47" i="7"/>
  <c r="S56" i="7"/>
  <c r="S66" i="7"/>
  <c r="S6" i="7"/>
  <c r="T6" i="7" s="1"/>
  <c r="U6" i="7" s="1"/>
  <c r="S16" i="7"/>
  <c r="S28" i="7"/>
  <c r="S38" i="7"/>
  <c r="S48" i="7"/>
  <c r="S58" i="7"/>
  <c r="S67" i="7"/>
  <c r="S21" i="7"/>
  <c r="T21" i="7" s="1"/>
  <c r="S51" i="7"/>
  <c r="S29" i="7"/>
  <c r="S52" i="7"/>
  <c r="S30" i="7"/>
  <c r="S59" i="7"/>
  <c r="S7" i="7"/>
  <c r="S31" i="7"/>
  <c r="S60" i="7"/>
  <c r="S8" i="7"/>
  <c r="T8" i="7" s="1"/>
  <c r="S39" i="7"/>
  <c r="S61" i="7"/>
  <c r="S11" i="7"/>
  <c r="S40" i="7"/>
  <c r="S68" i="7"/>
  <c r="S19" i="7"/>
  <c r="S43" i="7"/>
  <c r="S50" i="7"/>
  <c r="S20" i="7"/>
  <c r="S12" i="23"/>
  <c r="S20" i="23"/>
  <c r="S28" i="23"/>
  <c r="S36" i="23"/>
  <c r="T36" i="23" s="1"/>
  <c r="U36" i="23" s="1"/>
  <c r="S44" i="23"/>
  <c r="S52" i="23"/>
  <c r="S60" i="23"/>
  <c r="S68" i="23"/>
  <c r="S13" i="23"/>
  <c r="S21" i="23"/>
  <c r="T21" i="23" s="1"/>
  <c r="U21" i="23" s="1"/>
  <c r="S29" i="23"/>
  <c r="S37" i="23"/>
  <c r="S45" i="23"/>
  <c r="S53" i="23"/>
  <c r="S61" i="23"/>
  <c r="S15" i="23"/>
  <c r="S25" i="23"/>
  <c r="S35" i="23"/>
  <c r="T35" i="23" s="1"/>
  <c r="U35" i="23" s="1"/>
  <c r="S47" i="23"/>
  <c r="S57" i="23"/>
  <c r="S67" i="23"/>
  <c r="S6" i="23"/>
  <c r="T6" i="23" s="1"/>
  <c r="U6" i="23" s="1"/>
  <c r="S16" i="23"/>
  <c r="S26" i="23"/>
  <c r="S38" i="23"/>
  <c r="S48" i="23"/>
  <c r="S58" i="23"/>
  <c r="S7" i="23"/>
  <c r="T7" i="23" s="1"/>
  <c r="U7" i="23" s="1"/>
  <c r="S17" i="23"/>
  <c r="S27" i="23"/>
  <c r="S39" i="23"/>
  <c r="S49" i="23"/>
  <c r="S59" i="23"/>
  <c r="S8" i="23"/>
  <c r="T8" i="23" s="1"/>
  <c r="U8" i="23" s="1"/>
  <c r="S18" i="23"/>
  <c r="S30" i="23"/>
  <c r="S40" i="23"/>
  <c r="S50" i="23"/>
  <c r="S62" i="23"/>
  <c r="S22" i="23"/>
  <c r="T22" i="23" s="1"/>
  <c r="U22" i="23" s="1"/>
  <c r="S9" i="23"/>
  <c r="S19" i="23"/>
  <c r="S31" i="23"/>
  <c r="S41" i="23"/>
  <c r="S51" i="23"/>
  <c r="S63" i="23"/>
  <c r="S10" i="23"/>
  <c r="S32" i="23"/>
  <c r="S42" i="23"/>
  <c r="S54" i="23"/>
  <c r="S64" i="23"/>
  <c r="S46" i="23"/>
  <c r="S11" i="23"/>
  <c r="S55" i="23"/>
  <c r="S14" i="23"/>
  <c r="S56" i="23"/>
  <c r="S23" i="23"/>
  <c r="T23" i="23" s="1"/>
  <c r="U23" i="23" s="1"/>
  <c r="S65" i="23"/>
  <c r="S24" i="23"/>
  <c r="S66" i="23"/>
  <c r="S33" i="23"/>
  <c r="S34" i="23"/>
  <c r="T34" i="23" s="1"/>
  <c r="U34" i="23" s="1"/>
  <c r="S43" i="23"/>
  <c r="X24" i="7"/>
  <c r="AL24" i="7"/>
  <c r="AE28" i="23"/>
  <c r="AE9" i="23"/>
  <c r="AG29" i="23"/>
  <c r="AI28" i="23"/>
  <c r="AI29" i="23"/>
  <c r="AG31" i="23"/>
  <c r="AG26" i="23"/>
  <c r="AI27" i="23"/>
  <c r="AE25" i="23"/>
  <c r="AG28" i="23"/>
  <c r="AE27" i="23"/>
  <c r="AG25" i="23"/>
  <c r="AE26" i="23"/>
  <c r="AG30" i="23"/>
  <c r="AE30" i="23"/>
  <c r="AI26" i="23"/>
  <c r="AI30" i="23"/>
  <c r="AE29" i="23"/>
  <c r="AE31" i="23"/>
  <c r="AI25" i="23"/>
  <c r="AI31" i="23"/>
  <c r="AG27" i="23"/>
  <c r="D22" i="2"/>
  <c r="F64" i="18"/>
  <c r="F38" i="18"/>
  <c r="F19" i="14"/>
  <c r="F46" i="18"/>
  <c r="F45" i="21"/>
  <c r="F13" i="14"/>
  <c r="F44" i="21"/>
  <c r="F50" i="17"/>
  <c r="F33" i="14"/>
  <c r="F10" i="14"/>
  <c r="D33" i="24"/>
  <c r="F12" i="17"/>
  <c r="D60" i="24"/>
  <c r="D59" i="24"/>
  <c r="F15" i="14"/>
  <c r="F40" i="14"/>
  <c r="F47" i="21"/>
  <c r="F47" i="17"/>
  <c r="F41" i="17"/>
  <c r="F55" i="17"/>
  <c r="F17" i="14"/>
  <c r="F60" i="21"/>
  <c r="F61" i="14"/>
  <c r="G55" i="17"/>
  <c r="G33" i="14"/>
  <c r="F53" i="18"/>
  <c r="F59" i="21"/>
  <c r="F54" i="18"/>
  <c r="F20" i="18"/>
  <c r="F61" i="21"/>
  <c r="F17" i="17"/>
  <c r="F62" i="21"/>
  <c r="F10" i="21"/>
  <c r="F13" i="18"/>
  <c r="F57" i="17"/>
  <c r="F14" i="14"/>
  <c r="F43" i="17"/>
  <c r="G43" i="17" s="1"/>
  <c r="F38" i="14"/>
  <c r="D50" i="24"/>
  <c r="F37" i="14"/>
  <c r="G37" i="14" s="1"/>
  <c r="D38" i="24"/>
  <c r="F39" i="18"/>
  <c r="F57" i="18"/>
  <c r="F60" i="18"/>
  <c r="F59" i="17"/>
  <c r="F48" i="18"/>
  <c r="G48" i="18" s="1"/>
  <c r="F58" i="17"/>
  <c r="F11" i="17"/>
  <c r="F63" i="17"/>
  <c r="F46" i="14"/>
  <c r="F53" i="21"/>
  <c r="F64" i="14"/>
  <c r="F10" i="18"/>
  <c r="G38" i="18"/>
  <c r="G64" i="18"/>
  <c r="G46" i="18"/>
  <c r="G58" i="17"/>
  <c r="F54" i="17"/>
  <c r="D64" i="24"/>
  <c r="F50" i="18"/>
  <c r="F51" i="21"/>
  <c r="F68" i="14"/>
  <c r="F10" i="17"/>
  <c r="F59" i="18"/>
  <c r="F51" i="18"/>
  <c r="F11" i="14"/>
  <c r="F15" i="18"/>
  <c r="F43" i="21"/>
  <c r="B24" i="14"/>
  <c r="F19" i="17"/>
  <c r="F56" i="18"/>
  <c r="G56" i="18" s="1"/>
  <c r="F60" i="17"/>
  <c r="D57" i="24"/>
  <c r="F38" i="21"/>
  <c r="F57" i="14"/>
  <c r="G57" i="14" s="1"/>
  <c r="D41" i="24"/>
  <c r="F55" i="14"/>
  <c r="D44" i="24"/>
  <c r="F49" i="21"/>
  <c r="G49" i="21" s="1"/>
  <c r="F48" i="14"/>
  <c r="G48" i="14" s="1"/>
  <c r="F50" i="14"/>
  <c r="F15" i="17"/>
  <c r="F41" i="21"/>
  <c r="G53" i="21"/>
  <c r="F63" i="14"/>
  <c r="F67" i="17"/>
  <c r="F47" i="18"/>
  <c r="F58" i="21"/>
  <c r="F49" i="14"/>
  <c r="F58" i="14"/>
  <c r="F52" i="17"/>
  <c r="G52" i="17" s="1"/>
  <c r="F18" i="21"/>
  <c r="G61" i="21"/>
  <c r="G59" i="18"/>
  <c r="G63" i="17"/>
  <c r="F48" i="17"/>
  <c r="D49" i="24"/>
  <c r="G60" i="17"/>
  <c r="G60" i="18"/>
  <c r="G59" i="17"/>
  <c r="G40" i="14"/>
  <c r="D55" i="24"/>
  <c r="D52" i="24"/>
  <c r="F12" i="18"/>
  <c r="D68" i="24"/>
  <c r="D66" i="24"/>
  <c r="F65" i="14"/>
  <c r="F17" i="18"/>
  <c r="D67" i="24"/>
  <c r="F52" i="21"/>
  <c r="F41" i="18"/>
  <c r="G41" i="18" s="1"/>
  <c r="D63" i="24"/>
  <c r="F55" i="18"/>
  <c r="F68" i="21"/>
  <c r="G68" i="21" s="1"/>
  <c r="D37" i="24"/>
  <c r="F61" i="17"/>
  <c r="F67" i="18"/>
  <c r="G67" i="18" s="1"/>
  <c r="F40" i="18"/>
  <c r="G40" i="18" s="1"/>
  <c r="F43" i="18"/>
  <c r="F52" i="14"/>
  <c r="D39" i="24"/>
  <c r="F48" i="21"/>
  <c r="F47" i="14"/>
  <c r="F56" i="14"/>
  <c r="G56" i="14" s="1"/>
  <c r="F15" i="21"/>
  <c r="F16" i="18"/>
  <c r="F49" i="18"/>
  <c r="G49" i="18" s="1"/>
  <c r="F65" i="21"/>
  <c r="G65" i="21" s="1"/>
  <c r="F41" i="14"/>
  <c r="F49" i="17"/>
  <c r="D65" i="24"/>
  <c r="F42" i="18"/>
  <c r="G42" i="18" s="1"/>
  <c r="G60" i="21"/>
  <c r="G41" i="21"/>
  <c r="G41" i="14"/>
  <c r="G41" i="17"/>
  <c r="F56" i="17"/>
  <c r="F18" i="18"/>
  <c r="F18" i="14"/>
  <c r="F37" i="17"/>
  <c r="F20" i="14"/>
  <c r="F12" i="14"/>
  <c r="F42" i="14"/>
  <c r="G42" i="14" s="1"/>
  <c r="F44" i="14"/>
  <c r="G44" i="14" s="1"/>
  <c r="D58" i="24"/>
  <c r="F39" i="14"/>
  <c r="F66" i="21"/>
  <c r="F14" i="18"/>
  <c r="F63" i="18"/>
  <c r="F54" i="14"/>
  <c r="G54" i="14" s="1"/>
  <c r="G62" i="21"/>
  <c r="G45" i="21"/>
  <c r="G43" i="21"/>
  <c r="G39" i="18"/>
  <c r="G55" i="14"/>
  <c r="G57" i="18"/>
  <c r="F53" i="14"/>
  <c r="F16" i="14"/>
  <c r="F11" i="18"/>
  <c r="F16" i="17"/>
  <c r="D54" i="24"/>
  <c r="F40" i="21"/>
  <c r="G40" i="21" s="1"/>
  <c r="F42" i="17"/>
  <c r="F33" i="21"/>
  <c r="F45" i="14"/>
  <c r="G45" i="14" s="1"/>
  <c r="F42" i="21"/>
  <c r="G42" i="21" s="1"/>
  <c r="F66" i="18"/>
  <c r="F45" i="18"/>
  <c r="G45" i="18" s="1"/>
  <c r="F46" i="17"/>
  <c r="G46" i="17" s="1"/>
  <c r="G47" i="21"/>
  <c r="G57" i="17"/>
  <c r="G42" i="17"/>
  <c r="G47" i="18"/>
  <c r="G58" i="21"/>
  <c r="G52" i="14"/>
  <c r="D51" i="24"/>
  <c r="F62" i="17"/>
  <c r="F62" i="18"/>
  <c r="G62" i="18" s="1"/>
  <c r="F40" i="17"/>
  <c r="G40" i="17" s="1"/>
  <c r="F51" i="17"/>
  <c r="G51" i="17" s="1"/>
  <c r="F20" i="17"/>
  <c r="D53" i="24"/>
  <c r="D48" i="24"/>
  <c r="F56" i="21"/>
  <c r="G56" i="21" s="1"/>
  <c r="F65" i="18"/>
  <c r="F33" i="18"/>
  <c r="G33" i="18" s="1"/>
  <c r="F37" i="21"/>
  <c r="G37" i="21" s="1"/>
  <c r="G64" i="14"/>
  <c r="G47" i="14"/>
  <c r="G61" i="17"/>
  <c r="G66" i="21"/>
  <c r="G66" i="18"/>
  <c r="F44" i="17"/>
  <c r="F52" i="18"/>
  <c r="F38" i="17"/>
  <c r="G38" i="17" s="1"/>
  <c r="D47" i="24"/>
  <c r="F67" i="14"/>
  <c r="F9" i="18"/>
  <c r="F16" i="21"/>
  <c r="F13" i="17"/>
  <c r="F68" i="18"/>
  <c r="G68" i="18" s="1"/>
  <c r="G65" i="14"/>
  <c r="G50" i="17"/>
  <c r="G39" i="14"/>
  <c r="F67" i="21"/>
  <c r="F57" i="21"/>
  <c r="G57" i="21" s="1"/>
  <c r="F50" i="21"/>
  <c r="G50" i="21" s="1"/>
  <c r="F19" i="18"/>
  <c r="D61" i="24"/>
  <c r="F55" i="21"/>
  <c r="G55" i="21" s="1"/>
  <c r="F14" i="21"/>
  <c r="F68" i="17"/>
  <c r="G68" i="17" s="1"/>
  <c r="G68" i="14"/>
  <c r="G55" i="18"/>
  <c r="G61" i="14"/>
  <c r="G49" i="14"/>
  <c r="G43" i="18"/>
  <c r="F19" i="21"/>
  <c r="F60" i="14"/>
  <c r="G60" i="14" s="1"/>
  <c r="D42" i="24"/>
  <c r="F45" i="17"/>
  <c r="G45" i="17" s="1"/>
  <c r="D46" i="24"/>
  <c r="F54" i="21"/>
  <c r="G54" i="21" s="1"/>
  <c r="F53" i="17"/>
  <c r="G53" i="17" s="1"/>
  <c r="F12" i="21"/>
  <c r="D56" i="24"/>
  <c r="G52" i="21"/>
  <c r="G48" i="21"/>
  <c r="G44" i="21"/>
  <c r="G48" i="17"/>
  <c r="G50" i="14"/>
  <c r="F58" i="18"/>
  <c r="G58" i="18" s="1"/>
  <c r="F43" i="14"/>
  <c r="G43" i="14" s="1"/>
  <c r="D62" i="24"/>
  <c r="F59" i="14"/>
  <c r="F65" i="17"/>
  <c r="G65" i="17" s="1"/>
  <c r="D43" i="24"/>
  <c r="G63" i="18"/>
  <c r="G67" i="14"/>
  <c r="F44" i="18"/>
  <c r="F62" i="14"/>
  <c r="G62" i="14" s="1"/>
  <c r="F9" i="21"/>
  <c r="F64" i="17"/>
  <c r="G64" i="17" s="1"/>
  <c r="F9" i="14"/>
  <c r="F63" i="21"/>
  <c r="G63" i="21" s="1"/>
  <c r="F9" i="17"/>
  <c r="G51" i="18"/>
  <c r="G59" i="14"/>
  <c r="G58" i="14"/>
  <c r="F39" i="17"/>
  <c r="F39" i="21"/>
  <c r="F61" i="18"/>
  <c r="G61" i="18" s="1"/>
  <c r="F14" i="17"/>
  <c r="F51" i="14"/>
  <c r="G51" i="14" s="1"/>
  <c r="F20" i="21"/>
  <c r="G38" i="14"/>
  <c r="G46" i="14"/>
  <c r="G49" i="17"/>
  <c r="F66" i="17"/>
  <c r="D40" i="24"/>
  <c r="F37" i="18"/>
  <c r="G37" i="18" s="1"/>
  <c r="F18" i="17"/>
  <c r="F13" i="21"/>
  <c r="G67" i="17"/>
  <c r="G65" i="18"/>
  <c r="G33" i="21"/>
  <c r="F64" i="21"/>
  <c r="B24" i="17"/>
  <c r="F11" i="21"/>
  <c r="D45" i="24"/>
  <c r="F46" i="21"/>
  <c r="G46" i="21" s="1"/>
  <c r="F66" i="14"/>
  <c r="G66" i="14" s="1"/>
  <c r="F17" i="21"/>
  <c r="G37" i="17"/>
  <c r="G39" i="21"/>
  <c r="G47" i="17"/>
  <c r="F33" i="17"/>
  <c r="G38" i="21"/>
  <c r="M46" i="7" l="1"/>
  <c r="M11" i="7"/>
  <c r="M35" i="7"/>
  <c r="N35" i="7" s="1"/>
  <c r="M54" i="7"/>
  <c r="M32" i="7"/>
  <c r="M24" i="7"/>
  <c r="M62" i="7"/>
  <c r="M51" i="7"/>
  <c r="M58" i="7"/>
  <c r="M26" i="7"/>
  <c r="M7" i="7"/>
  <c r="N7" i="7" s="1"/>
  <c r="O7" i="7" s="1"/>
  <c r="M42" i="7"/>
  <c r="M23" i="7"/>
  <c r="N23" i="7" s="1"/>
  <c r="O23" i="7" s="1"/>
  <c r="M47" i="7"/>
  <c r="M16" i="7"/>
  <c r="M15" i="7"/>
  <c r="M43" i="7"/>
  <c r="M37" i="7"/>
  <c r="M34" i="7"/>
  <c r="N34" i="7" s="1"/>
  <c r="O34" i="7" s="1"/>
  <c r="M30" i="7"/>
  <c r="M45" i="7"/>
  <c r="M25" i="7"/>
  <c r="M13" i="7"/>
  <c r="M21" i="7"/>
  <c r="N21" i="7" s="1"/>
  <c r="O21" i="7" s="1"/>
  <c r="M36" i="7"/>
  <c r="N36" i="7" s="1"/>
  <c r="M17" i="7"/>
  <c r="M65" i="7"/>
  <c r="M12" i="7"/>
  <c r="M27" i="7"/>
  <c r="M9" i="7"/>
  <c r="M67" i="7"/>
  <c r="M6" i="7"/>
  <c r="M22" i="7"/>
  <c r="N22" i="7" s="1"/>
  <c r="O22" i="7" s="1"/>
  <c r="M48" i="7"/>
  <c r="M28" i="7"/>
  <c r="M8" i="7"/>
  <c r="N8" i="7" s="1"/>
  <c r="M60" i="7"/>
  <c r="M55" i="7"/>
  <c r="M40" i="7"/>
  <c r="M53" i="7"/>
  <c r="M61" i="7"/>
  <c r="M38" i="7"/>
  <c r="M19" i="7"/>
  <c r="M68" i="7"/>
  <c r="M50" i="7"/>
  <c r="M63" i="7"/>
  <c r="M14" i="7"/>
  <c r="M31" i="7"/>
  <c r="M49" i="7"/>
  <c r="M29" i="7"/>
  <c r="M10" i="7"/>
  <c r="M56" i="7"/>
  <c r="M41" i="7"/>
  <c r="M64" i="7"/>
  <c r="M66" i="7"/>
  <c r="M52" i="7"/>
  <c r="M39" i="7"/>
  <c r="M20" i="7"/>
  <c r="M57" i="7"/>
  <c r="M44" i="7"/>
  <c r="M11" i="23"/>
  <c r="M46" i="23"/>
  <c r="M41" i="23"/>
  <c r="M31" i="23"/>
  <c r="M19" i="23"/>
  <c r="M58" i="23"/>
  <c r="M48" i="23"/>
  <c r="M38" i="23"/>
  <c r="M26" i="23"/>
  <c r="M15" i="23"/>
  <c r="M9" i="23"/>
  <c r="M24" i="23"/>
  <c r="M30" i="23"/>
  <c r="M45" i="23"/>
  <c r="M53" i="23"/>
  <c r="M55" i="23"/>
  <c r="M49" i="23"/>
  <c r="M13" i="23"/>
  <c r="M64" i="23"/>
  <c r="M68" i="23"/>
  <c r="M34" i="23"/>
  <c r="N34" i="23" s="1"/>
  <c r="O34" i="23" s="1"/>
  <c r="M54" i="23"/>
  <c r="M18" i="23"/>
  <c r="M6" i="23"/>
  <c r="N6" i="23" s="1"/>
  <c r="O6" i="23" s="1"/>
  <c r="M52" i="23"/>
  <c r="M33" i="23"/>
  <c r="M63" i="23"/>
  <c r="M8" i="23"/>
  <c r="N8" i="23" s="1"/>
  <c r="O8" i="23" s="1"/>
  <c r="M35" i="23"/>
  <c r="N35" i="23" s="1"/>
  <c r="O35" i="23" s="1"/>
  <c r="M44" i="23"/>
  <c r="M66" i="23"/>
  <c r="M51" i="23"/>
  <c r="M59" i="23"/>
  <c r="M25" i="23"/>
  <c r="M36" i="23"/>
  <c r="N36" i="23" s="1"/>
  <c r="O36" i="23" s="1"/>
  <c r="M65" i="23"/>
  <c r="M42" i="23"/>
  <c r="M27" i="23"/>
  <c r="M67" i="23"/>
  <c r="M37" i="23"/>
  <c r="M23" i="23"/>
  <c r="N23" i="23" s="1"/>
  <c r="O23" i="23" s="1"/>
  <c r="M32" i="23"/>
  <c r="M50" i="23"/>
  <c r="M17" i="23"/>
  <c r="M57" i="23"/>
  <c r="M29" i="23"/>
  <c r="M20" i="23"/>
  <c r="M28" i="23"/>
  <c r="M56" i="23"/>
  <c r="M10" i="23"/>
  <c r="M40" i="23"/>
  <c r="M7" i="23"/>
  <c r="N7" i="23" s="1"/>
  <c r="O7" i="23" s="1"/>
  <c r="M47" i="23"/>
  <c r="M21" i="23"/>
  <c r="N21" i="23" s="1"/>
  <c r="O21" i="23" s="1"/>
  <c r="M12" i="23"/>
  <c r="M43" i="23"/>
  <c r="M14" i="23"/>
  <c r="M22" i="23"/>
  <c r="N22" i="23" s="1"/>
  <c r="O22" i="23" s="1"/>
  <c r="M62" i="23"/>
  <c r="M39" i="23"/>
  <c r="M16" i="23"/>
  <c r="M61" i="23"/>
  <c r="Q22" i="7"/>
  <c r="R22" i="7" s="1"/>
  <c r="Q21" i="7"/>
  <c r="R21" i="7" s="1"/>
  <c r="T34" i="7"/>
  <c r="U34" i="7" s="1"/>
  <c r="T7" i="7"/>
  <c r="U7" i="7" s="1"/>
  <c r="Q23" i="7"/>
  <c r="R23" i="7" s="1"/>
  <c r="Q34" i="7"/>
  <c r="R34" i="7" s="1"/>
  <c r="N6" i="7"/>
  <c r="O6" i="7" s="1"/>
  <c r="R6" i="7"/>
  <c r="AH27" i="23"/>
  <c r="AH30" i="23"/>
  <c r="AF25" i="23"/>
  <c r="AH29" i="23"/>
  <c r="AJ31" i="23"/>
  <c r="AJ27" i="23"/>
  <c r="AF9" i="23"/>
  <c r="AF28" i="23"/>
  <c r="AJ25" i="23"/>
  <c r="AF29" i="23"/>
  <c r="AJ26" i="23"/>
  <c r="AF30" i="23"/>
  <c r="AH25" i="23"/>
  <c r="AH26" i="23"/>
  <c r="AJ29" i="23"/>
  <c r="AF31" i="23"/>
  <c r="AH28" i="23"/>
  <c r="AF26" i="23"/>
  <c r="AH31" i="23"/>
  <c r="AJ28" i="23"/>
  <c r="AF27" i="23"/>
  <c r="AJ30" i="23"/>
  <c r="G33" i="17"/>
  <c r="G62" i="17"/>
  <c r="G59" i="21"/>
  <c r="G10" i="21"/>
  <c r="G13" i="21"/>
  <c r="E38" i="24"/>
  <c r="E44" i="24"/>
  <c r="G11" i="17"/>
  <c r="G10" i="18"/>
  <c r="G14" i="14"/>
  <c r="E52" i="24"/>
  <c r="G13" i="18"/>
  <c r="E58" i="24"/>
  <c r="E60" i="24"/>
  <c r="H58" i="17"/>
  <c r="H62" i="17"/>
  <c r="H67" i="18"/>
  <c r="H42" i="14"/>
  <c r="H51" i="14"/>
  <c r="H37" i="17"/>
  <c r="H64" i="14"/>
  <c r="H43" i="14"/>
  <c r="H60" i="18"/>
  <c r="H60" i="14"/>
  <c r="H48" i="14"/>
  <c r="H66" i="14"/>
  <c r="H47" i="21"/>
  <c r="H59" i="21"/>
  <c r="G64" i="21"/>
  <c r="G53" i="14"/>
  <c r="G53" i="18"/>
  <c r="G15" i="18"/>
  <c r="E64" i="24"/>
  <c r="E50" i="24"/>
  <c r="G17" i="17"/>
  <c r="G18" i="14"/>
  <c r="E37" i="24"/>
  <c r="E43" i="24"/>
  <c r="G13" i="14"/>
  <c r="G14" i="21"/>
  <c r="G15" i="17"/>
  <c r="H47" i="18"/>
  <c r="H41" i="17"/>
  <c r="H44" i="21"/>
  <c r="H45" i="18"/>
  <c r="H46" i="18"/>
  <c r="H59" i="17"/>
  <c r="H40" i="17"/>
  <c r="H60" i="21"/>
  <c r="H33" i="21"/>
  <c r="H55" i="14"/>
  <c r="H49" i="21"/>
  <c r="H46" i="21"/>
  <c r="H33" i="18"/>
  <c r="H55" i="21"/>
  <c r="H40" i="14"/>
  <c r="H62" i="14"/>
  <c r="H65" i="21"/>
  <c r="G66" i="17"/>
  <c r="G56" i="17"/>
  <c r="G18" i="21"/>
  <c r="G12" i="21"/>
  <c r="E33" i="24"/>
  <c r="G16" i="17"/>
  <c r="E51" i="24"/>
  <c r="G9" i="21"/>
  <c r="G17" i="21"/>
  <c r="E42" i="24"/>
  <c r="G12" i="14"/>
  <c r="E57" i="24"/>
  <c r="H64" i="21"/>
  <c r="H47" i="14"/>
  <c r="H33" i="17"/>
  <c r="H53" i="18"/>
  <c r="H48" i="17"/>
  <c r="H40" i="18"/>
  <c r="H62" i="21"/>
  <c r="H39" i="18"/>
  <c r="H43" i="17"/>
  <c r="H46" i="17"/>
  <c r="H44" i="14"/>
  <c r="H52" i="14"/>
  <c r="H48" i="21"/>
  <c r="H51" i="18"/>
  <c r="H38" i="18"/>
  <c r="H49" i="17"/>
  <c r="H46" i="14"/>
  <c r="G39" i="17"/>
  <c r="G63" i="14"/>
  <c r="G16" i="14"/>
  <c r="G13" i="17"/>
  <c r="G14" i="17"/>
  <c r="G16" i="18"/>
  <c r="E56" i="24"/>
  <c r="E53" i="24"/>
  <c r="G19" i="21"/>
  <c r="G12" i="17"/>
  <c r="G20" i="14"/>
  <c r="G11" i="21"/>
  <c r="H47" i="17"/>
  <c r="H40" i="21"/>
  <c r="H42" i="21"/>
  <c r="H45" i="14"/>
  <c r="H55" i="17"/>
  <c r="H43" i="18"/>
  <c r="H57" i="17"/>
  <c r="H59" i="18"/>
  <c r="H37" i="21"/>
  <c r="H58" i="14"/>
  <c r="H37" i="14"/>
  <c r="H42" i="18"/>
  <c r="H63" i="17"/>
  <c r="H39" i="21"/>
  <c r="H61" i="21"/>
  <c r="H58" i="21"/>
  <c r="G44" i="18"/>
  <c r="H44" i="18" s="1"/>
  <c r="G51" i="21"/>
  <c r="G11" i="14"/>
  <c r="E49" i="24"/>
  <c r="G9" i="17"/>
  <c r="G9" i="18"/>
  <c r="E54" i="24"/>
  <c r="G10" i="17"/>
  <c r="E62" i="24"/>
  <c r="G11" i="18"/>
  <c r="G20" i="18"/>
  <c r="G17" i="18"/>
  <c r="G19" i="18"/>
  <c r="H39" i="14"/>
  <c r="H65" i="18"/>
  <c r="H60" i="17"/>
  <c r="H61" i="14"/>
  <c r="H56" i="21"/>
  <c r="H67" i="14"/>
  <c r="H43" i="21"/>
  <c r="H38" i="21"/>
  <c r="H68" i="17"/>
  <c r="H64" i="18"/>
  <c r="H68" i="14"/>
  <c r="H52" i="21"/>
  <c r="H41" i="14"/>
  <c r="H45" i="21"/>
  <c r="H42" i="17"/>
  <c r="H65" i="17"/>
  <c r="G67" i="21"/>
  <c r="H67" i="21" s="1"/>
  <c r="G15" i="21"/>
  <c r="E45" i="24"/>
  <c r="G10" i="14"/>
  <c r="H10" i="14" s="1"/>
  <c r="G17" i="14"/>
  <c r="G18" i="18"/>
  <c r="G14" i="18"/>
  <c r="G15" i="14"/>
  <c r="H15" i="14"/>
  <c r="E61" i="24"/>
  <c r="H68" i="21"/>
  <c r="H62" i="18"/>
  <c r="H59" i="14"/>
  <c r="H54" i="21"/>
  <c r="H63" i="21"/>
  <c r="H55" i="18"/>
  <c r="H58" i="18"/>
  <c r="H51" i="17"/>
  <c r="H66" i="21"/>
  <c r="H52" i="17"/>
  <c r="G54" i="17"/>
  <c r="H54" i="17" s="1"/>
  <c r="E55" i="24"/>
  <c r="E39" i="24"/>
  <c r="G19" i="14"/>
  <c r="E46" i="24"/>
  <c r="G20" i="21"/>
  <c r="H18" i="14"/>
  <c r="E67" i="24"/>
  <c r="H57" i="21"/>
  <c r="H50" i="17"/>
  <c r="H39" i="17"/>
  <c r="H53" i="17"/>
  <c r="H54" i="14"/>
  <c r="H68" i="18"/>
  <c r="H50" i="14"/>
  <c r="H38" i="14"/>
  <c r="G44" i="17"/>
  <c r="E68" i="24"/>
  <c r="E40" i="24"/>
  <c r="G19" i="17"/>
  <c r="E47" i="24"/>
  <c r="H19" i="14"/>
  <c r="H44" i="17"/>
  <c r="H49" i="14"/>
  <c r="H57" i="14"/>
  <c r="H61" i="18"/>
  <c r="H38" i="17"/>
  <c r="H37" i="18"/>
  <c r="H45" i="17"/>
  <c r="H64" i="17"/>
  <c r="H51" i="21"/>
  <c r="H41" i="18"/>
  <c r="H56" i="14"/>
  <c r="H49" i="18"/>
  <c r="H56" i="17"/>
  <c r="H41" i="21"/>
  <c r="G50" i="18"/>
  <c r="H50" i="18" s="1"/>
  <c r="G16" i="21"/>
  <c r="E41" i="24"/>
  <c r="H61" i="17"/>
  <c r="H53" i="21"/>
  <c r="H56" i="18"/>
  <c r="H67" i="17"/>
  <c r="H53" i="14"/>
  <c r="H63" i="14"/>
  <c r="G52" i="18"/>
  <c r="H52" i="18" s="1"/>
  <c r="G20" i="17"/>
  <c r="G9" i="14"/>
  <c r="G18" i="17"/>
  <c r="H11" i="14"/>
  <c r="H66" i="17"/>
  <c r="H63" i="18"/>
  <c r="H50" i="21"/>
  <c r="H65" i="14"/>
  <c r="H57" i="18"/>
  <c r="H48" i="18"/>
  <c r="H33" i="14"/>
  <c r="G54" i="18"/>
  <c r="H54" i="18" s="1"/>
  <c r="E63" i="24"/>
  <c r="E66" i="24"/>
  <c r="E48" i="24"/>
  <c r="G12" i="18"/>
  <c r="E65" i="24"/>
  <c r="E59" i="24"/>
  <c r="H66" i="18"/>
  <c r="D29" i="7" l="1"/>
  <c r="E30" i="7"/>
  <c r="C11" i="7"/>
  <c r="E24" i="7"/>
  <c r="D25" i="7"/>
  <c r="E16" i="7"/>
  <c r="F30" i="7"/>
  <c r="F19" i="7"/>
  <c r="F29" i="7"/>
  <c r="E25" i="7"/>
  <c r="E14" i="7"/>
  <c r="F27" i="7"/>
  <c r="E17" i="7"/>
  <c r="F14" i="7"/>
  <c r="F25" i="7"/>
  <c r="F20" i="7"/>
  <c r="E26" i="7"/>
  <c r="F17" i="7"/>
  <c r="D12" i="7"/>
  <c r="F13" i="7"/>
  <c r="D28" i="7"/>
  <c r="F11" i="7"/>
  <c r="C10" i="7"/>
  <c r="D27" i="7"/>
  <c r="F10" i="7"/>
  <c r="D26" i="7"/>
  <c r="D9" i="7"/>
  <c r="E32" i="7"/>
  <c r="E9" i="7"/>
  <c r="E29" i="7"/>
  <c r="E13" i="7"/>
  <c r="F15" i="7"/>
  <c r="F24" i="7"/>
  <c r="E28" i="7"/>
  <c r="E15" i="7"/>
  <c r="E27" i="7"/>
  <c r="F32" i="7"/>
  <c r="F9" i="7"/>
  <c r="D13" i="7"/>
  <c r="D14" i="7"/>
  <c r="C9" i="7"/>
  <c r="F16" i="7"/>
  <c r="D11" i="7"/>
  <c r="E11" i="7"/>
  <c r="F12" i="7"/>
  <c r="E12" i="7"/>
  <c r="F26" i="7"/>
  <c r="F18" i="7"/>
  <c r="D24" i="7"/>
  <c r="D10" i="7"/>
  <c r="F28" i="7"/>
  <c r="E31" i="7"/>
  <c r="E10" i="7"/>
  <c r="D30" i="7"/>
  <c r="F31" i="7"/>
  <c r="H9" i="14"/>
  <c r="H18" i="17"/>
  <c r="H13" i="17"/>
  <c r="H18" i="21"/>
  <c r="H10" i="21"/>
  <c r="F37" i="24"/>
  <c r="F51" i="24"/>
  <c r="F41" i="24"/>
  <c r="F33" i="24"/>
  <c r="F49" i="24"/>
  <c r="F40" i="24"/>
  <c r="F61" i="24"/>
  <c r="H19" i="18"/>
  <c r="F45" i="24"/>
  <c r="F63" i="24"/>
  <c r="H14" i="21"/>
  <c r="F66" i="24"/>
  <c r="F39" i="24"/>
  <c r="H16" i="14"/>
  <c r="H20" i="14"/>
  <c r="H15" i="21"/>
  <c r="H9" i="18"/>
  <c r="H12" i="14"/>
  <c r="H14" i="18"/>
  <c r="H18" i="18"/>
  <c r="H20" i="17"/>
  <c r="F50" i="24"/>
  <c r="H13" i="14"/>
  <c r="H17" i="18"/>
  <c r="F60" i="24"/>
  <c r="F56" i="24"/>
  <c r="H13" i="18"/>
  <c r="F55" i="24"/>
  <c r="H14" i="14"/>
  <c r="F59" i="24"/>
  <c r="H12" i="18"/>
  <c r="H11" i="21"/>
  <c r="H19" i="21"/>
  <c r="H15" i="17"/>
  <c r="H16" i="17"/>
  <c r="H16" i="21"/>
  <c r="H13" i="21"/>
  <c r="H20" i="21"/>
  <c r="F43" i="24"/>
  <c r="F47" i="24"/>
  <c r="F57" i="24"/>
  <c r="F48" i="24"/>
  <c r="H9" i="21"/>
  <c r="H12" i="21"/>
  <c r="H15" i="18"/>
  <c r="F64" i="24"/>
  <c r="H17" i="14"/>
  <c r="H10" i="17"/>
  <c r="F44" i="24"/>
  <c r="H11" i="18"/>
  <c r="H17" i="21"/>
  <c r="H16" i="18"/>
  <c r="F42" i="24"/>
  <c r="F38" i="24"/>
  <c r="H10" i="18"/>
  <c r="F58" i="24"/>
  <c r="F46" i="24"/>
  <c r="H20" i="18"/>
  <c r="F65" i="24"/>
  <c r="F53" i="24"/>
  <c r="F68" i="24"/>
  <c r="H12" i="17"/>
  <c r="H17" i="17"/>
  <c r="F54" i="24"/>
  <c r="F52" i="24"/>
  <c r="F62" i="24"/>
  <c r="H19" i="17"/>
  <c r="H11" i="17"/>
  <c r="H14" i="17"/>
  <c r="H9" i="17"/>
  <c r="F67" i="24"/>
  <c r="W6" i="7" l="1"/>
  <c r="AI21" i="7"/>
  <c r="AK7" i="7"/>
  <c r="AE8" i="7"/>
  <c r="AI23" i="7"/>
  <c r="AK6" i="7"/>
  <c r="AI8" i="7"/>
  <c r="AI22" i="7"/>
  <c r="AK8" i="7"/>
  <c r="U23" i="7" l="1"/>
  <c r="U8" i="7"/>
  <c r="X6" i="7"/>
  <c r="O8" i="7"/>
  <c r="U22" i="7"/>
  <c r="U21" i="7"/>
  <c r="X8" i="7"/>
  <c r="X7" i="7"/>
  <c r="AL7" i="7"/>
  <c r="AJ8" i="7"/>
  <c r="AJ23" i="7"/>
  <c r="AJ22" i="7"/>
  <c r="AJ21" i="7"/>
  <c r="AF8" i="7"/>
  <c r="AL6" i="7"/>
  <c r="AL8" i="7"/>
  <c r="O36" i="7" l="1"/>
  <c r="O35" i="7"/>
  <c r="R36" i="7"/>
  <c r="R35" i="7"/>
  <c r="U36" i="7"/>
  <c r="U35" i="7"/>
  <c r="AG8" i="7"/>
  <c r="AE18" i="23"/>
  <c r="AG12" i="23"/>
  <c r="AI11" i="23"/>
  <c r="AE11" i="23"/>
  <c r="AI15" i="23"/>
  <c r="AI14" i="23"/>
  <c r="AG20" i="23"/>
  <c r="AG13" i="23"/>
  <c r="AG19" i="23"/>
  <c r="AI9" i="23"/>
  <c r="AE15" i="23"/>
  <c r="AE10" i="23"/>
  <c r="AG16" i="23"/>
  <c r="AG17" i="23"/>
  <c r="AE17" i="23"/>
  <c r="AG14" i="23"/>
  <c r="AI17" i="23"/>
  <c r="AE13" i="23"/>
  <c r="AG11" i="23"/>
  <c r="AI10" i="23"/>
  <c r="AG18" i="23"/>
  <c r="AE20" i="23"/>
  <c r="AE12" i="23"/>
  <c r="AI19" i="23"/>
  <c r="AI16" i="23"/>
  <c r="AI12" i="23"/>
  <c r="AG15" i="23"/>
  <c r="AI20" i="23"/>
  <c r="AI13" i="23"/>
  <c r="AG9" i="23"/>
  <c r="AI18" i="23"/>
  <c r="AE19" i="23"/>
  <c r="AE14" i="23"/>
  <c r="AG10" i="23"/>
  <c r="AE16" i="23"/>
  <c r="AE24" i="23"/>
  <c r="G29" i="14"/>
  <c r="G26" i="14"/>
  <c r="G32" i="14"/>
  <c r="G25" i="14"/>
  <c r="G30" i="14"/>
  <c r="G28" i="14"/>
  <c r="G31" i="14"/>
  <c r="G27" i="14"/>
  <c r="J26" i="14" l="1"/>
  <c r="J32" i="14"/>
  <c r="J31" i="14"/>
  <c r="J25" i="14"/>
  <c r="J28" i="14"/>
  <c r="J29" i="14"/>
  <c r="J30" i="14"/>
  <c r="J27" i="14"/>
  <c r="R8" i="7"/>
  <c r="AH8" i="7"/>
  <c r="AH10" i="23"/>
  <c r="AH14" i="23"/>
  <c r="AJ14" i="23"/>
  <c r="AF18" i="23"/>
  <c r="AF13" i="23"/>
  <c r="AJ19" i="23"/>
  <c r="AF12" i="23"/>
  <c r="AH17" i="23"/>
  <c r="AH19" i="23"/>
  <c r="AH18" i="23"/>
  <c r="AJ15" i="23"/>
  <c r="AJ10" i="23"/>
  <c r="AF10" i="23"/>
  <c r="AJ11" i="23"/>
  <c r="AJ18" i="23"/>
  <c r="AJ20" i="23"/>
  <c r="AH20" i="23"/>
  <c r="AH15" i="23"/>
  <c r="AH13" i="23"/>
  <c r="AF11" i="23"/>
  <c r="AH9" i="23"/>
  <c r="AF16" i="23"/>
  <c r="AF14" i="23"/>
  <c r="AJ12" i="23"/>
  <c r="AJ17" i="23"/>
  <c r="AF17" i="23"/>
  <c r="AH16" i="23"/>
  <c r="AJ9" i="23"/>
  <c r="AJ16" i="23"/>
  <c r="AF19" i="23"/>
  <c r="AJ13" i="23"/>
  <c r="AF20" i="23"/>
  <c r="AH11" i="23"/>
  <c r="AF15" i="23"/>
  <c r="AH12" i="23"/>
  <c r="AG24" i="23"/>
  <c r="AI24" i="23"/>
  <c r="AF24" i="23"/>
  <c r="H32" i="14"/>
  <c r="F27" i="14"/>
  <c r="F29" i="14"/>
  <c r="F28" i="14"/>
  <c r="H28" i="14"/>
  <c r="H30" i="14"/>
  <c r="F30" i="14"/>
  <c r="F25" i="14"/>
  <c r="F32" i="14"/>
  <c r="H26" i="14"/>
  <c r="H25" i="14"/>
  <c r="F31" i="14"/>
  <c r="H27" i="14"/>
  <c r="F26" i="14"/>
  <c r="H29" i="14"/>
  <c r="H31" i="14"/>
  <c r="J6" i="7" l="1" a="1"/>
  <c r="J6" i="23" a="1"/>
  <c r="AJ24" i="23"/>
  <c r="AH24" i="23"/>
  <c r="I32" i="14"/>
  <c r="I29" i="14"/>
  <c r="I30" i="14"/>
  <c r="I27" i="14"/>
  <c r="I26" i="14"/>
  <c r="I31" i="14"/>
  <c r="I28" i="14"/>
  <c r="I25" i="14"/>
  <c r="J11" i="23" l="1"/>
  <c r="J19" i="23"/>
  <c r="J27" i="23"/>
  <c r="J35" i="23"/>
  <c r="K35" i="23" s="1"/>
  <c r="L35" i="23" s="1"/>
  <c r="J43" i="23"/>
  <c r="J51" i="23"/>
  <c r="J59" i="23"/>
  <c r="J67" i="23"/>
  <c r="J12" i="23"/>
  <c r="J20" i="23"/>
  <c r="J28" i="23"/>
  <c r="J36" i="23"/>
  <c r="K36" i="23" s="1"/>
  <c r="L36" i="23" s="1"/>
  <c r="J44" i="23"/>
  <c r="J52" i="23"/>
  <c r="J60" i="23"/>
  <c r="J68" i="23"/>
  <c r="J14" i="23"/>
  <c r="J24" i="23"/>
  <c r="J34" i="23"/>
  <c r="K34" i="23" s="1"/>
  <c r="L34" i="23" s="1"/>
  <c r="J46" i="23"/>
  <c r="J56" i="23"/>
  <c r="J66" i="23"/>
  <c r="J15" i="23"/>
  <c r="J25" i="23"/>
  <c r="J37" i="23"/>
  <c r="J47" i="23"/>
  <c r="J57" i="23"/>
  <c r="J6" i="23"/>
  <c r="K6" i="23" s="1"/>
  <c r="L6" i="23" s="1"/>
  <c r="J16" i="23"/>
  <c r="J26" i="23"/>
  <c r="J38" i="23"/>
  <c r="J48" i="23"/>
  <c r="J58" i="23"/>
  <c r="J7" i="23"/>
  <c r="K7" i="23" s="1"/>
  <c r="L7" i="23" s="1"/>
  <c r="J17" i="23"/>
  <c r="J29" i="23"/>
  <c r="J39" i="23"/>
  <c r="J49" i="23"/>
  <c r="J61" i="23"/>
  <c r="J8" i="23"/>
  <c r="K8" i="23" s="1"/>
  <c r="L8" i="23" s="1"/>
  <c r="J18" i="23"/>
  <c r="J30" i="23"/>
  <c r="J40" i="23"/>
  <c r="J50" i="23"/>
  <c r="J62" i="23"/>
  <c r="J9" i="23"/>
  <c r="J21" i="23"/>
  <c r="K21" i="23" s="1"/>
  <c r="L21" i="23" s="1"/>
  <c r="J31" i="23"/>
  <c r="J41" i="23"/>
  <c r="J63" i="23"/>
  <c r="J23" i="23"/>
  <c r="K23" i="23" s="1"/>
  <c r="L23" i="23" s="1"/>
  <c r="J64" i="23"/>
  <c r="J32" i="23"/>
  <c r="J65" i="23"/>
  <c r="J33" i="23"/>
  <c r="J42" i="23"/>
  <c r="J45" i="23"/>
  <c r="J10" i="23"/>
  <c r="J53" i="23"/>
  <c r="J13" i="23"/>
  <c r="J54" i="23"/>
  <c r="J55" i="23"/>
  <c r="J22" i="23"/>
  <c r="K22" i="23" s="1"/>
  <c r="L22" i="23" s="1"/>
  <c r="J67" i="7"/>
  <c r="J56" i="7"/>
  <c r="J47" i="7"/>
  <c r="J23" i="7"/>
  <c r="J40" i="7"/>
  <c r="J10" i="7"/>
  <c r="J27" i="7"/>
  <c r="K27" i="7" s="1"/>
  <c r="J44" i="7"/>
  <c r="J45" i="7"/>
  <c r="J57" i="7"/>
  <c r="J39" i="7"/>
  <c r="J9" i="7"/>
  <c r="J26" i="7"/>
  <c r="K26" i="7" s="1"/>
  <c r="J13" i="7"/>
  <c r="J30" i="7"/>
  <c r="K30" i="7" s="1"/>
  <c r="J61" i="7"/>
  <c r="J49" i="7"/>
  <c r="J17" i="7"/>
  <c r="J34" i="7"/>
  <c r="J53" i="7"/>
  <c r="J22" i="7"/>
  <c r="J48" i="7"/>
  <c r="J54" i="7"/>
  <c r="J8" i="7"/>
  <c r="K8" i="7" s="1"/>
  <c r="J25" i="7"/>
  <c r="K25" i="7" s="1"/>
  <c r="J12" i="7"/>
  <c r="J38" i="7"/>
  <c r="J65" i="7"/>
  <c r="J20" i="7"/>
  <c r="J68" i="7"/>
  <c r="J24" i="7"/>
  <c r="J15" i="7"/>
  <c r="J19" i="7"/>
  <c r="J37" i="7"/>
  <c r="J60" i="7"/>
  <c r="J66" i="7"/>
  <c r="J31" i="7"/>
  <c r="K31" i="7" s="1"/>
  <c r="J50" i="7"/>
  <c r="J18" i="7"/>
  <c r="J35" i="7"/>
  <c r="J6" i="7"/>
  <c r="K6" i="7" s="1"/>
  <c r="L6" i="7" s="1"/>
  <c r="J14" i="7"/>
  <c r="J55" i="7"/>
  <c r="J43" i="7"/>
  <c r="J59" i="7"/>
  <c r="J63" i="7"/>
  <c r="J42" i="7"/>
  <c r="J64" i="7"/>
  <c r="J46" i="7"/>
  <c r="J33" i="7"/>
  <c r="J52" i="7"/>
  <c r="J21" i="7"/>
  <c r="J62" i="7"/>
  <c r="J7" i="7"/>
  <c r="J41" i="7"/>
  <c r="J11" i="7"/>
  <c r="J29" i="7"/>
  <c r="K29" i="7" s="1"/>
  <c r="J58" i="7"/>
  <c r="J51" i="7"/>
  <c r="J36" i="7"/>
  <c r="K36" i="7" s="1"/>
  <c r="J16" i="7"/>
  <c r="J28" i="7"/>
  <c r="K28" i="7" s="1"/>
  <c r="J32" i="7"/>
  <c r="K32" i="7" s="1"/>
  <c r="AC36" i="7"/>
  <c r="AC8" i="7"/>
  <c r="K7" i="7" l="1"/>
  <c r="L7" i="7" s="1"/>
  <c r="K30" i="23"/>
  <c r="K28" i="23"/>
  <c r="K29" i="23"/>
  <c r="K21" i="7"/>
  <c r="L21" i="7" s="1"/>
  <c r="K25" i="23"/>
  <c r="K22" i="7"/>
  <c r="L22" i="7" s="1"/>
  <c r="K23" i="7"/>
  <c r="L23" i="7" s="1"/>
  <c r="K35" i="7"/>
  <c r="L35" i="7" s="1"/>
  <c r="K34" i="7"/>
  <c r="L34" i="7" s="1"/>
  <c r="K31" i="23"/>
  <c r="K26" i="23"/>
  <c r="K27" i="23"/>
  <c r="L8" i="7"/>
  <c r="L36" i="7"/>
  <c r="AD8" i="7"/>
  <c r="AD36" i="7"/>
  <c r="AC19" i="23"/>
  <c r="AC15" i="23"/>
  <c r="AC27" i="23"/>
  <c r="AC30" i="23"/>
  <c r="AC11" i="23"/>
  <c r="AC29" i="23"/>
  <c r="AC20" i="23"/>
  <c r="AC16" i="23"/>
  <c r="AC12" i="23"/>
  <c r="AC18" i="23"/>
  <c r="AC9" i="23"/>
  <c r="AC31" i="23"/>
  <c r="AC14" i="23"/>
  <c r="AC28" i="23"/>
  <c r="AC10" i="23"/>
  <c r="AC17" i="23"/>
  <c r="AC25" i="23"/>
  <c r="AC13" i="23"/>
  <c r="AC26" i="23"/>
  <c r="AC24" i="23"/>
  <c r="AC29" i="7"/>
  <c r="AC25" i="7"/>
  <c r="AC31" i="7"/>
  <c r="AC32" i="7"/>
  <c r="AC28" i="7"/>
  <c r="AC26" i="7"/>
  <c r="AC27" i="7"/>
  <c r="AC30" i="7"/>
  <c r="L26" i="23" l="1"/>
  <c r="L25" i="23"/>
  <c r="L28" i="23"/>
  <c r="L31" i="23"/>
  <c r="L29" i="23"/>
  <c r="L30" i="23"/>
  <c r="L27" i="23"/>
  <c r="L26" i="7"/>
  <c r="L30" i="7"/>
  <c r="L31" i="7"/>
  <c r="L29" i="7"/>
  <c r="L28" i="7"/>
  <c r="L32" i="7"/>
  <c r="L25" i="7"/>
  <c r="L27" i="7"/>
  <c r="AD14" i="23"/>
  <c r="AD26" i="23"/>
  <c r="AD31" i="23"/>
  <c r="AD11" i="23"/>
  <c r="AD9" i="23"/>
  <c r="AD12" i="23"/>
  <c r="AD13" i="23"/>
  <c r="AD10" i="23"/>
  <c r="AD16" i="23"/>
  <c r="AD20" i="23"/>
  <c r="AD30" i="23"/>
  <c r="AD15" i="23"/>
  <c r="AD25" i="23"/>
  <c r="AD18" i="23"/>
  <c r="AD29" i="23"/>
  <c r="AD19" i="23"/>
  <c r="AD17" i="23"/>
  <c r="AD28" i="23"/>
  <c r="AD27" i="23"/>
  <c r="AD24" i="23"/>
  <c r="AD25" i="7"/>
  <c r="AD32" i="7"/>
  <c r="AD26" i="7"/>
  <c r="AD27" i="7"/>
  <c r="AD30" i="7"/>
  <c r="AD31" i="7"/>
  <c r="AD29" i="7"/>
  <c r="AD28" i="7"/>
  <c r="W33" i="7" l="1"/>
  <c r="W33" i="23"/>
  <c r="AK33" i="7"/>
  <c r="X33" i="23" l="1"/>
  <c r="X33" i="7"/>
  <c r="AL33" i="7"/>
  <c r="G62" i="23" l="1"/>
  <c r="E50" i="23"/>
  <c r="F66" i="23"/>
  <c r="G56" i="23"/>
  <c r="E46" i="23"/>
  <c r="G23" i="23"/>
  <c r="F38" i="23"/>
  <c r="C33" i="23"/>
  <c r="F58" i="23"/>
  <c r="E65" i="23"/>
  <c r="G9" i="23"/>
  <c r="G61" i="23"/>
  <c r="D47" i="23"/>
  <c r="E68" i="23"/>
  <c r="F52" i="23"/>
  <c r="E44" i="23"/>
  <c r="D56" i="23"/>
  <c r="G11" i="23"/>
  <c r="E43" i="23"/>
  <c r="D46" i="23"/>
  <c r="F53" i="23"/>
  <c r="D63" i="23"/>
  <c r="F67" i="23"/>
  <c r="F47" i="23"/>
  <c r="E41" i="23"/>
  <c r="C57" i="23"/>
  <c r="G51" i="23"/>
  <c r="C68" i="23"/>
  <c r="C49" i="23"/>
  <c r="F44" i="23"/>
  <c r="G60" i="23"/>
  <c r="G63" i="23"/>
  <c r="D45" i="23"/>
  <c r="C39" i="23"/>
  <c r="G64" i="23"/>
  <c r="D43" i="23"/>
  <c r="D54" i="23"/>
  <c r="G54" i="23"/>
  <c r="E33" i="23"/>
  <c r="G55" i="23"/>
  <c r="G42" i="23"/>
  <c r="E64" i="23"/>
  <c r="G48" i="23"/>
  <c r="E66" i="23"/>
  <c r="C46" i="23"/>
  <c r="F40" i="23"/>
  <c r="D50" i="23"/>
  <c r="E52" i="23"/>
  <c r="G16" i="23"/>
  <c r="C37" i="23"/>
  <c r="D44" i="23"/>
  <c r="G13" i="23"/>
  <c r="G41" i="23"/>
  <c r="G44" i="23"/>
  <c r="E57" i="23"/>
  <c r="G68" i="23"/>
  <c r="G66" i="23"/>
  <c r="G14" i="23"/>
  <c r="G39" i="23"/>
  <c r="D66" i="23"/>
  <c r="F42" i="23"/>
  <c r="F60" i="23"/>
  <c r="G43" i="23"/>
  <c r="C54" i="23"/>
  <c r="F63" i="23"/>
  <c r="D60" i="23"/>
  <c r="F48" i="23"/>
  <c r="G65" i="23"/>
  <c r="F62" i="23"/>
  <c r="C42" i="23"/>
  <c r="G58" i="23"/>
  <c r="D68" i="23"/>
  <c r="E45" i="23"/>
  <c r="E53" i="23"/>
  <c r="G53" i="23"/>
  <c r="G18" i="23"/>
  <c r="D37" i="23"/>
  <c r="E51" i="23"/>
  <c r="E48" i="23"/>
  <c r="D62" i="23"/>
  <c r="D48" i="23"/>
  <c r="G40" i="23"/>
  <c r="E37" i="23"/>
  <c r="G45" i="23"/>
  <c r="C56" i="23"/>
  <c r="G52" i="23"/>
  <c r="F41" i="23"/>
  <c r="C55" i="23"/>
  <c r="G12" i="23"/>
  <c r="C65" i="23"/>
  <c r="D51" i="23"/>
  <c r="D38" i="23"/>
  <c r="D65" i="23"/>
  <c r="G21" i="23"/>
  <c r="C60" i="23"/>
  <c r="F50" i="23"/>
  <c r="D59" i="23"/>
  <c r="F45" i="23"/>
  <c r="C41" i="23"/>
  <c r="E56" i="23"/>
  <c r="G10" i="23"/>
  <c r="D55" i="23"/>
  <c r="G37" i="23"/>
  <c r="E42" i="23"/>
  <c r="C61" i="23"/>
  <c r="C66" i="23"/>
  <c r="C64" i="23"/>
  <c r="F55" i="23"/>
  <c r="G46" i="23"/>
  <c r="D67" i="23"/>
  <c r="D41" i="23"/>
  <c r="E60" i="23"/>
  <c r="F61" i="23"/>
  <c r="E55" i="23"/>
  <c r="F57" i="23"/>
  <c r="F59" i="23"/>
  <c r="C48" i="23"/>
  <c r="G47" i="23"/>
  <c r="C53" i="23"/>
  <c r="D42" i="23"/>
  <c r="C43" i="23"/>
  <c r="D61" i="23"/>
  <c r="C45" i="23"/>
  <c r="C62" i="23"/>
  <c r="F43" i="23"/>
  <c r="G49" i="23"/>
  <c r="F33" i="23"/>
  <c r="D53" i="23"/>
  <c r="C59" i="23"/>
  <c r="D39" i="23"/>
  <c r="F37" i="23"/>
  <c r="E63" i="23"/>
  <c r="G50" i="23"/>
  <c r="C44" i="23"/>
  <c r="G20" i="23"/>
  <c r="C50" i="23"/>
  <c r="F65" i="23"/>
  <c r="G22" i="23"/>
  <c r="E49" i="23"/>
  <c r="G57" i="23"/>
  <c r="C58" i="23"/>
  <c r="C63" i="23"/>
  <c r="E47" i="23"/>
  <c r="C67" i="23"/>
  <c r="F54" i="23"/>
  <c r="C52" i="23"/>
  <c r="C40" i="23"/>
  <c r="E61" i="23"/>
  <c r="D49" i="23"/>
  <c r="E39" i="23"/>
  <c r="E67" i="23"/>
  <c r="E62" i="23"/>
  <c r="G19" i="23"/>
  <c r="G15" i="23"/>
  <c r="G59" i="23"/>
  <c r="C38" i="23"/>
  <c r="F49" i="23"/>
  <c r="F68" i="23"/>
  <c r="E54" i="23"/>
  <c r="E59" i="23"/>
  <c r="G67" i="23"/>
  <c r="D40" i="23"/>
  <c r="E38" i="23"/>
  <c r="F64" i="23"/>
  <c r="G38" i="23"/>
  <c r="E40" i="23"/>
  <c r="G17" i="23"/>
  <c r="D64" i="23"/>
  <c r="C51" i="23"/>
  <c r="F39" i="23"/>
  <c r="F51" i="23"/>
  <c r="D33" i="23"/>
  <c r="E58" i="23"/>
  <c r="F56" i="23"/>
  <c r="F46" i="23"/>
  <c r="D57" i="23"/>
  <c r="D58" i="23"/>
  <c r="D52" i="23"/>
  <c r="C47" i="23"/>
  <c r="AL8" i="23"/>
  <c r="AK8" i="23"/>
  <c r="AK33" i="23"/>
  <c r="AL33" i="23"/>
  <c r="Z59" i="7" l="1"/>
  <c r="AA59" i="7" s="1"/>
  <c r="Z45" i="7"/>
  <c r="AA45" i="7" s="1"/>
  <c r="Z50" i="7"/>
  <c r="AA50" i="7" s="1"/>
  <c r="Z51" i="7"/>
  <c r="AA51" i="7" s="1"/>
  <c r="Z54" i="7"/>
  <c r="AA54" i="7" s="1"/>
  <c r="Z37" i="7"/>
  <c r="AA37" i="7" s="1"/>
  <c r="Z39" i="7"/>
  <c r="AA39" i="7" s="1"/>
  <c r="Z46" i="7"/>
  <c r="AA46" i="7" s="1"/>
  <c r="Z66" i="7"/>
  <c r="AA66" i="7" s="1"/>
  <c r="Z65" i="7"/>
  <c r="AA65" i="7" s="1"/>
  <c r="Z44" i="7"/>
  <c r="AA44" i="7" s="1"/>
  <c r="Z49" i="7"/>
  <c r="AA49" i="7" s="1"/>
  <c r="Z42" i="7"/>
  <c r="AA42" i="7" s="1"/>
  <c r="Z33" i="7"/>
  <c r="AA33" i="7" s="1"/>
  <c r="Z56" i="7"/>
  <c r="AA56" i="7" s="1"/>
  <c r="Z38" i="7"/>
  <c r="AA38" i="7" s="1"/>
  <c r="Z40" i="7"/>
  <c r="AA40" i="7" s="1"/>
  <c r="Z53" i="7"/>
  <c r="AA53" i="7" s="1"/>
  <c r="Z67" i="7"/>
  <c r="AA67" i="7" s="1"/>
  <c r="Z58" i="7"/>
  <c r="AA58" i="7" s="1"/>
  <c r="Z48" i="7"/>
  <c r="AA48" i="7" s="1"/>
  <c r="Z63" i="7"/>
  <c r="AA63" i="7" s="1"/>
  <c r="Z64" i="7"/>
  <c r="AA64" i="7" s="1"/>
  <c r="Z43" i="7"/>
  <c r="AA43" i="7" s="1"/>
  <c r="Z47" i="7"/>
  <c r="AA47" i="7" s="1"/>
  <c r="Z60" i="7"/>
  <c r="AA60" i="7" s="1"/>
  <c r="Z62" i="7"/>
  <c r="AA62" i="7" s="1"/>
  <c r="Z68" i="7"/>
  <c r="AA68" i="7" s="1"/>
  <c r="Z55" i="7"/>
  <c r="AA55" i="7" s="1"/>
  <c r="Z52" i="7"/>
  <c r="AA52" i="7" s="1"/>
  <c r="Z57" i="7"/>
  <c r="AA57" i="7" s="1"/>
  <c r="Z61" i="7"/>
  <c r="AA61" i="7" s="1"/>
  <c r="Z41" i="7"/>
  <c r="AA41" i="7" s="1"/>
  <c r="D6" i="2" l="1"/>
  <c r="G59" i="19"/>
  <c r="I56" i="17"/>
  <c r="I43" i="21"/>
  <c r="I54" i="14"/>
  <c r="G62" i="24"/>
  <c r="I48" i="17"/>
  <c r="G64" i="24"/>
  <c r="I44" i="14"/>
  <c r="I49" i="21"/>
  <c r="I13" i="21"/>
  <c r="I57" i="21"/>
  <c r="I44" i="18"/>
  <c r="G68" i="24"/>
  <c r="I17" i="14"/>
  <c r="I41" i="17"/>
  <c r="G22" i="19"/>
  <c r="I59" i="17"/>
  <c r="G37" i="19"/>
  <c r="I42" i="21"/>
  <c r="I56" i="18"/>
  <c r="I31" i="17"/>
  <c r="G10" i="19"/>
  <c r="I12" i="14"/>
  <c r="I44" i="21"/>
  <c r="I52" i="14"/>
  <c r="I68" i="21"/>
  <c r="I27" i="18"/>
  <c r="I41" i="18"/>
  <c r="G51" i="19"/>
  <c r="G57" i="19"/>
  <c r="I68" i="17"/>
  <c r="I63" i="18"/>
  <c r="I33" i="21"/>
  <c r="I48" i="14"/>
  <c r="I17" i="21"/>
  <c r="I62" i="14"/>
  <c r="I43" i="14"/>
  <c r="I55" i="18"/>
  <c r="G56" i="19"/>
  <c r="G44" i="19"/>
  <c r="I44" i="17"/>
  <c r="I60" i="14"/>
  <c r="I65" i="21"/>
  <c r="G43" i="19"/>
  <c r="I28" i="21"/>
  <c r="G41" i="24"/>
  <c r="I61" i="17"/>
  <c r="I62" i="17"/>
  <c r="I66" i="21"/>
  <c r="I26" i="17"/>
  <c r="I46" i="18"/>
  <c r="G18" i="19"/>
  <c r="I67" i="17"/>
  <c r="I11" i="14"/>
  <c r="I12" i="18"/>
  <c r="I59" i="18"/>
  <c r="I30" i="18"/>
  <c r="G13" i="19"/>
  <c r="I41" i="14"/>
  <c r="I45" i="17"/>
  <c r="G40" i="24"/>
  <c r="I33" i="17"/>
  <c r="I68" i="14"/>
  <c r="G52" i="24"/>
  <c r="I37" i="17"/>
  <c r="I9" i="17"/>
  <c r="G51" i="24"/>
  <c r="G53" i="19"/>
  <c r="I49" i="14"/>
  <c r="B24" i="21"/>
  <c r="I24" i="21" s="1"/>
  <c r="I15" i="18"/>
  <c r="I54" i="18"/>
  <c r="I18" i="21"/>
  <c r="G11" i="19"/>
  <c r="I25" i="18"/>
  <c r="G23" i="19"/>
  <c r="I41" i="21"/>
  <c r="I38" i="17"/>
  <c r="G58" i="24"/>
  <c r="I39" i="14"/>
  <c r="I61" i="18"/>
  <c r="I20" i="21"/>
  <c r="I20" i="17"/>
  <c r="G21" i="19"/>
  <c r="I61" i="14"/>
  <c r="G35" i="19"/>
  <c r="G56" i="24"/>
  <c r="I28" i="17"/>
  <c r="I29" i="21"/>
  <c r="I20" i="14"/>
  <c r="I9" i="18"/>
  <c r="I29" i="18"/>
  <c r="I11" i="17"/>
  <c r="I43" i="18"/>
  <c r="I31" i="18"/>
  <c r="I65" i="17"/>
  <c r="G46" i="24"/>
  <c r="G47" i="19"/>
  <c r="I47" i="18"/>
  <c r="I16" i="21"/>
  <c r="G57" i="24"/>
  <c r="I43" i="17"/>
  <c r="G42" i="24"/>
  <c r="I14" i="14"/>
  <c r="G58" i="19"/>
  <c r="G33" i="24"/>
  <c r="G63" i="24"/>
  <c r="B24" i="18"/>
  <c r="I24" i="18" s="1"/>
  <c r="G43" i="24"/>
  <c r="I52" i="17"/>
  <c r="I63" i="17"/>
  <c r="I56" i="14"/>
  <c r="I63" i="21"/>
  <c r="I58" i="18"/>
  <c r="I24" i="17"/>
  <c r="I54" i="21"/>
  <c r="G54" i="19"/>
  <c r="I15" i="14"/>
  <c r="G38" i="19"/>
  <c r="G34" i="19"/>
  <c r="G61" i="24"/>
  <c r="G12" i="19"/>
  <c r="I14" i="21"/>
  <c r="I53" i="14"/>
  <c r="G39" i="24"/>
  <c r="I18" i="14"/>
  <c r="I14" i="17"/>
  <c r="G50" i="24"/>
  <c r="I39" i="18"/>
  <c r="G40" i="19"/>
  <c r="I17" i="17"/>
  <c r="I39" i="21"/>
  <c r="I37" i="18"/>
  <c r="I58" i="21"/>
  <c r="G16" i="19"/>
  <c r="G47" i="24"/>
  <c r="I65" i="14"/>
  <c r="I57" i="14"/>
  <c r="I42" i="14"/>
  <c r="I30" i="17"/>
  <c r="I37" i="21"/>
  <c r="G54" i="24"/>
  <c r="I10" i="14"/>
  <c r="I16" i="14"/>
  <c r="I48" i="18"/>
  <c r="I67" i="21"/>
  <c r="I19" i="21"/>
  <c r="G36" i="19"/>
  <c r="G60" i="24"/>
  <c r="I52" i="18"/>
  <c r="G50" i="19"/>
  <c r="G68" i="19"/>
  <c r="I15" i="17"/>
  <c r="I45" i="14"/>
  <c r="G38" i="24"/>
  <c r="I47" i="21"/>
  <c r="G66" i="19"/>
  <c r="I49" i="18"/>
  <c r="G52" i="19"/>
  <c r="I10" i="21"/>
  <c r="I33" i="14"/>
  <c r="I16" i="17"/>
  <c r="I56" i="21"/>
  <c r="I27" i="17"/>
  <c r="I51" i="14"/>
  <c r="G48" i="24"/>
  <c r="G48" i="19"/>
  <c r="I27" i="21"/>
  <c r="I26" i="18"/>
  <c r="G63" i="19"/>
  <c r="I28" i="18"/>
  <c r="I52" i="21"/>
  <c r="G65" i="24"/>
  <c r="I55" i="17"/>
  <c r="G45" i="24"/>
  <c r="I62" i="21"/>
  <c r="I45" i="18"/>
  <c r="I29" i="17"/>
  <c r="I60" i="17"/>
  <c r="I32" i="18"/>
  <c r="G49" i="19"/>
  <c r="G62" i="19"/>
  <c r="I40" i="18"/>
  <c r="G19" i="19"/>
  <c r="I53" i="17"/>
  <c r="I64" i="21"/>
  <c r="G60" i="19"/>
  <c r="I61" i="21"/>
  <c r="I25" i="21"/>
  <c r="I48" i="21"/>
  <c r="I16" i="18"/>
  <c r="I57" i="18"/>
  <c r="I60" i="18"/>
  <c r="I10" i="18"/>
  <c r="I15" i="21"/>
  <c r="G17" i="19"/>
  <c r="I19" i="17"/>
  <c r="G15" i="19"/>
  <c r="G67" i="24"/>
  <c r="I50" i="14"/>
  <c r="I45" i="21"/>
  <c r="I38" i="18"/>
  <c r="G67" i="19"/>
  <c r="I9" i="21"/>
  <c r="I10" i="17"/>
  <c r="G55" i="19"/>
  <c r="I42" i="17"/>
  <c r="I50" i="21"/>
  <c r="G59" i="24"/>
  <c r="G49" i="24"/>
  <c r="I64" i="18"/>
  <c r="I67" i="18"/>
  <c r="I18" i="18"/>
  <c r="I62" i="18"/>
  <c r="I13" i="18"/>
  <c r="G44" i="24"/>
  <c r="I64" i="17"/>
  <c r="G65" i="19"/>
  <c r="I60" i="21"/>
  <c r="I68" i="18"/>
  <c r="I66" i="14"/>
  <c r="I46" i="17"/>
  <c r="I40" i="21"/>
  <c r="I11" i="18"/>
  <c r="I32" i="21"/>
  <c r="G37" i="24"/>
  <c r="G14" i="19"/>
  <c r="G20" i="19"/>
  <c r="I58" i="14"/>
  <c r="I13" i="14"/>
  <c r="G66" i="24"/>
  <c r="I25" i="17"/>
  <c r="I53" i="18"/>
  <c r="I17" i="18"/>
  <c r="G41" i="19"/>
  <c r="I33" i="18"/>
  <c r="G46" i="19"/>
  <c r="I47" i="17"/>
  <c r="I65" i="18"/>
  <c r="I46" i="21"/>
  <c r="I40" i="17"/>
  <c r="I47" i="14"/>
  <c r="I49" i="17"/>
  <c r="I54" i="17"/>
  <c r="I58" i="17"/>
  <c r="G55" i="24"/>
  <c r="I18" i="17"/>
  <c r="I13" i="17"/>
  <c r="I14" i="18"/>
  <c r="I9" i="14"/>
  <c r="I59" i="14"/>
  <c r="I19" i="14"/>
  <c r="I26" i="21"/>
  <c r="I55" i="14"/>
  <c r="G64" i="19"/>
  <c r="I51" i="18"/>
  <c r="I12" i="21"/>
  <c r="I38" i="21"/>
  <c r="I46" i="14"/>
  <c r="G9" i="19"/>
  <c r="I38" i="14"/>
  <c r="I50" i="18"/>
  <c r="G53" i="24"/>
  <c r="I53" i="21"/>
  <c r="I39" i="17"/>
  <c r="I67" i="14"/>
  <c r="I51" i="17"/>
  <c r="I37" i="14"/>
  <c r="I32" i="17"/>
  <c r="I42" i="18"/>
  <c r="G61" i="19"/>
  <c r="G42" i="19"/>
  <c r="I66" i="18"/>
  <c r="I64" i="14"/>
  <c r="I30" i="21"/>
  <c r="I24" i="14"/>
  <c r="I57" i="17"/>
  <c r="I63" i="14"/>
  <c r="I51" i="21"/>
  <c r="I11" i="21"/>
  <c r="I59" i="21"/>
  <c r="I55" i="21"/>
  <c r="I19" i="18"/>
  <c r="I50" i="17"/>
  <c r="G45" i="19"/>
  <c r="I20" i="18"/>
  <c r="I12" i="17"/>
  <c r="I31" i="21"/>
  <c r="G39" i="19"/>
  <c r="I40" i="14"/>
  <c r="I66" i="17"/>
  <c r="N66" i="7" l="1"/>
  <c r="N66" i="23"/>
  <c r="K40" i="7"/>
  <c r="K40" i="23"/>
  <c r="W39" i="7"/>
  <c r="W39" i="23"/>
  <c r="T31" i="7"/>
  <c r="T31" i="23"/>
  <c r="U31" i="23" s="1"/>
  <c r="N12" i="7"/>
  <c r="N12" i="23"/>
  <c r="O12" i="23" s="1"/>
  <c r="Q20" i="7"/>
  <c r="Q20" i="23"/>
  <c r="R20" i="23" s="1"/>
  <c r="W45" i="7"/>
  <c r="W45" i="23"/>
  <c r="N50" i="23"/>
  <c r="N50" i="7"/>
  <c r="Q19" i="7"/>
  <c r="Q19" i="23"/>
  <c r="R19" i="23" s="1"/>
  <c r="T55" i="7"/>
  <c r="T55" i="23"/>
  <c r="T59" i="7"/>
  <c r="T59" i="23"/>
  <c r="T11" i="7"/>
  <c r="T11" i="23"/>
  <c r="U11" i="23" s="1"/>
  <c r="T51" i="23"/>
  <c r="T51" i="7"/>
  <c r="K63" i="23"/>
  <c r="K63" i="7"/>
  <c r="N57" i="7"/>
  <c r="N57" i="23"/>
  <c r="K24" i="7"/>
  <c r="K24" i="23"/>
  <c r="L24" i="23" s="1"/>
  <c r="T30" i="23"/>
  <c r="U30" i="23" s="1"/>
  <c r="T30" i="7"/>
  <c r="K64" i="7"/>
  <c r="K64" i="23"/>
  <c r="Q66" i="23"/>
  <c r="Q66" i="7"/>
  <c r="W42" i="23"/>
  <c r="W42" i="7"/>
  <c r="W61" i="23"/>
  <c r="W61" i="7"/>
  <c r="Q42" i="23"/>
  <c r="Q42" i="7"/>
  <c r="N32" i="7"/>
  <c r="K37" i="23"/>
  <c r="K37" i="7"/>
  <c r="N51" i="23"/>
  <c r="N51" i="7"/>
  <c r="K67" i="23"/>
  <c r="K67" i="7"/>
  <c r="N39" i="7"/>
  <c r="N39" i="23"/>
  <c r="T53" i="7"/>
  <c r="T53" i="23"/>
  <c r="Z53" i="23"/>
  <c r="Q50" i="23"/>
  <c r="Q50" i="7"/>
  <c r="K38" i="7"/>
  <c r="K38" i="23"/>
  <c r="W9" i="23"/>
  <c r="W9" i="7"/>
  <c r="K46" i="23"/>
  <c r="K46" i="7"/>
  <c r="T38" i="7"/>
  <c r="T38" i="23"/>
  <c r="T12" i="23"/>
  <c r="U12" i="23" s="1"/>
  <c r="T12" i="7"/>
  <c r="Q51" i="7"/>
  <c r="Q51" i="23"/>
  <c r="W64" i="7"/>
  <c r="W64" i="23"/>
  <c r="K55" i="7"/>
  <c r="K55" i="23"/>
  <c r="T26" i="23"/>
  <c r="U26" i="23" s="1"/>
  <c r="T26" i="7"/>
  <c r="K19" i="7"/>
  <c r="K19" i="23"/>
  <c r="L19" i="23" s="1"/>
  <c r="K59" i="23"/>
  <c r="K59" i="7"/>
  <c r="K9" i="7"/>
  <c r="K9" i="23"/>
  <c r="L9" i="23" s="1"/>
  <c r="Q14" i="23"/>
  <c r="R14" i="23" s="1"/>
  <c r="Q14" i="7"/>
  <c r="N13" i="23"/>
  <c r="O13" i="23" s="1"/>
  <c r="N13" i="7"/>
  <c r="N18" i="7"/>
  <c r="N18" i="23"/>
  <c r="O18" i="23" s="1"/>
  <c r="Z55" i="23"/>
  <c r="N58" i="23"/>
  <c r="N58" i="7"/>
  <c r="N54" i="23"/>
  <c r="N54" i="7"/>
  <c r="N49" i="23"/>
  <c r="N49" i="7"/>
  <c r="K47" i="23"/>
  <c r="K47" i="7"/>
  <c r="N40" i="7"/>
  <c r="N40" i="23"/>
  <c r="T46" i="7"/>
  <c r="T46" i="23"/>
  <c r="Q65" i="23"/>
  <c r="Q65" i="7"/>
  <c r="N47" i="7"/>
  <c r="N47" i="23"/>
  <c r="W46" i="7"/>
  <c r="W46" i="23"/>
  <c r="Q33" i="7"/>
  <c r="Q33" i="23"/>
  <c r="W41" i="7"/>
  <c r="W41" i="23"/>
  <c r="Q17" i="23"/>
  <c r="R17" i="23" s="1"/>
  <c r="Q17" i="7"/>
  <c r="Q53" i="7"/>
  <c r="Q53" i="23"/>
  <c r="N25" i="7"/>
  <c r="N25" i="23"/>
  <c r="O25" i="23" s="1"/>
  <c r="Z66" i="23"/>
  <c r="K13" i="23"/>
  <c r="L13" i="23" s="1"/>
  <c r="K13" i="7"/>
  <c r="K58" i="23"/>
  <c r="K58" i="7"/>
  <c r="W20" i="23"/>
  <c r="W20" i="7"/>
  <c r="W14" i="7"/>
  <c r="W14" i="23"/>
  <c r="Z37" i="23"/>
  <c r="T32" i="7"/>
  <c r="Q11" i="7"/>
  <c r="Q11" i="23"/>
  <c r="R11" i="23" s="1"/>
  <c r="T40" i="7"/>
  <c r="T40" i="23"/>
  <c r="N46" i="23"/>
  <c r="N46" i="7"/>
  <c r="K66" i="7"/>
  <c r="K66" i="23"/>
  <c r="Q68" i="23"/>
  <c r="Q68" i="7"/>
  <c r="T60" i="23"/>
  <c r="T60" i="7"/>
  <c r="W65" i="23"/>
  <c r="W65" i="7"/>
  <c r="N64" i="23"/>
  <c r="N64" i="7"/>
  <c r="Z44" i="23"/>
  <c r="Q13" i="23"/>
  <c r="R13" i="23" s="1"/>
  <c r="Q13" i="7"/>
  <c r="Q62" i="23"/>
  <c r="Q62" i="7"/>
  <c r="Q18" i="23"/>
  <c r="R18" i="23" s="1"/>
  <c r="Q18" i="7"/>
  <c r="Q67" i="7"/>
  <c r="Q67" i="23"/>
  <c r="Q64" i="23"/>
  <c r="Q64" i="7"/>
  <c r="Z49" i="23"/>
  <c r="Z59" i="23"/>
  <c r="T50" i="23"/>
  <c r="T50" i="7"/>
  <c r="N42" i="7"/>
  <c r="N42" i="23"/>
  <c r="W55" i="7"/>
  <c r="W55" i="23"/>
  <c r="N10" i="23"/>
  <c r="O10" i="23" s="1"/>
  <c r="N10" i="7"/>
  <c r="T9" i="23"/>
  <c r="U9" i="23" s="1"/>
  <c r="T9" i="7"/>
  <c r="W67" i="23"/>
  <c r="W67" i="7"/>
  <c r="Q38" i="7"/>
  <c r="Q38" i="23"/>
  <c r="T45" i="7"/>
  <c r="T45" i="23"/>
  <c r="K50" i="7"/>
  <c r="K50" i="23"/>
  <c r="Z67" i="23"/>
  <c r="W15" i="7"/>
  <c r="W15" i="23"/>
  <c r="N19" i="23"/>
  <c r="O19" i="23" s="1"/>
  <c r="N19" i="7"/>
  <c r="W17" i="23"/>
  <c r="W17" i="7"/>
  <c r="T15" i="23"/>
  <c r="U15" i="23" s="1"/>
  <c r="T15" i="7"/>
  <c r="Q10" i="7"/>
  <c r="Q10" i="23"/>
  <c r="R10" i="23" s="1"/>
  <c r="Q60" i="23"/>
  <c r="Q60" i="7"/>
  <c r="Q57" i="7"/>
  <c r="Q57" i="23"/>
  <c r="Q16" i="23"/>
  <c r="R16" i="23" s="1"/>
  <c r="Q16" i="7"/>
  <c r="T48" i="7"/>
  <c r="T48" i="23"/>
  <c r="T25" i="7"/>
  <c r="T25" i="23"/>
  <c r="U25" i="23" s="1"/>
  <c r="T61" i="7"/>
  <c r="T61" i="23"/>
  <c r="W60" i="23"/>
  <c r="W60" i="7"/>
  <c r="T64" i="7"/>
  <c r="T64" i="23"/>
  <c r="N53" i="23"/>
  <c r="N53" i="7"/>
  <c r="W19" i="23"/>
  <c r="W19" i="7"/>
  <c r="Q40" i="7"/>
  <c r="Q40" i="23"/>
  <c r="W62" i="23"/>
  <c r="W62" i="7"/>
  <c r="W49" i="23"/>
  <c r="W49" i="7"/>
  <c r="Q32" i="7"/>
  <c r="N60" i="7"/>
  <c r="N60" i="23"/>
  <c r="N29" i="23"/>
  <c r="O29" i="23" s="1"/>
  <c r="N29" i="7"/>
  <c r="Q45" i="23"/>
  <c r="Q45" i="7"/>
  <c r="T62" i="23"/>
  <c r="T62" i="7"/>
  <c r="Z45" i="23"/>
  <c r="N55" i="7"/>
  <c r="N55" i="23"/>
  <c r="Z65" i="23"/>
  <c r="T52" i="23"/>
  <c r="T52" i="7"/>
  <c r="Q28" i="7"/>
  <c r="Q28" i="23"/>
  <c r="R28" i="23" s="1"/>
  <c r="W63" i="7"/>
  <c r="W63" i="23"/>
  <c r="Q26" i="23"/>
  <c r="R26" i="23" s="1"/>
  <c r="Q26" i="7"/>
  <c r="T27" i="7"/>
  <c r="T27" i="23"/>
  <c r="U27" i="23" s="1"/>
  <c r="W48" i="7"/>
  <c r="W48" i="23"/>
  <c r="Z48" i="23"/>
  <c r="K51" i="23"/>
  <c r="K51" i="7"/>
  <c r="N27" i="7"/>
  <c r="N27" i="23"/>
  <c r="O27" i="23" s="1"/>
  <c r="T56" i="7"/>
  <c r="T56" i="23"/>
  <c r="N16" i="23"/>
  <c r="O16" i="23" s="1"/>
  <c r="N16" i="7"/>
  <c r="K33" i="23"/>
  <c r="K33" i="7"/>
  <c r="T10" i="7"/>
  <c r="T10" i="23"/>
  <c r="U10" i="23" s="1"/>
  <c r="W52" i="23"/>
  <c r="W52" i="7"/>
  <c r="Q49" i="23"/>
  <c r="Q49" i="7"/>
  <c r="W66" i="23"/>
  <c r="W66" i="7"/>
  <c r="T47" i="7"/>
  <c r="T47" i="23"/>
  <c r="Z38" i="23"/>
  <c r="K45" i="7"/>
  <c r="K45" i="23"/>
  <c r="N15" i="23"/>
  <c r="O15" i="23" s="1"/>
  <c r="N15" i="7"/>
  <c r="W68" i="7"/>
  <c r="W68" i="23"/>
  <c r="W50" i="23"/>
  <c r="W50" i="7"/>
  <c r="Q52" i="7"/>
  <c r="Q52" i="23"/>
  <c r="Z60" i="23"/>
  <c r="W36" i="7"/>
  <c r="W36" i="23"/>
  <c r="X36" i="23" s="1"/>
  <c r="T19" i="23"/>
  <c r="U19" i="23" s="1"/>
  <c r="T19" i="7"/>
  <c r="T67" i="7"/>
  <c r="T67" i="23"/>
  <c r="Q48" i="7"/>
  <c r="Q48" i="23"/>
  <c r="K16" i="7"/>
  <c r="K16" i="23"/>
  <c r="L16" i="23" s="1"/>
  <c r="K10" i="23"/>
  <c r="L10" i="23" s="1"/>
  <c r="K10" i="7"/>
  <c r="Z54" i="23"/>
  <c r="T37" i="7"/>
  <c r="T37" i="23"/>
  <c r="N30" i="23"/>
  <c r="O30" i="23" s="1"/>
  <c r="N30" i="7"/>
  <c r="K42" i="23"/>
  <c r="K42" i="7"/>
  <c r="K57" i="7"/>
  <c r="K57" i="23"/>
  <c r="K65" i="7"/>
  <c r="K65" i="23"/>
  <c r="Z47" i="23"/>
  <c r="W16" i="23"/>
  <c r="W16" i="7"/>
  <c r="T58" i="23"/>
  <c r="T58" i="7"/>
  <c r="Q37" i="7"/>
  <c r="Q37" i="23"/>
  <c r="T39" i="7"/>
  <c r="T39" i="23"/>
  <c r="N17" i="7"/>
  <c r="N17" i="23"/>
  <c r="O17" i="23" s="1"/>
  <c r="W40" i="7"/>
  <c r="W40" i="23"/>
  <c r="Q39" i="23"/>
  <c r="Q39" i="7"/>
  <c r="Z50" i="23"/>
  <c r="N14" i="7"/>
  <c r="N14" i="23"/>
  <c r="O14" i="23" s="1"/>
  <c r="K18" i="23"/>
  <c r="L18" i="23" s="1"/>
  <c r="K18" i="7"/>
  <c r="Z39" i="23"/>
  <c r="K53" i="7"/>
  <c r="K53" i="23"/>
  <c r="T14" i="23"/>
  <c r="U14" i="23" s="1"/>
  <c r="T14" i="7"/>
  <c r="W12" i="7"/>
  <c r="W12" i="23"/>
  <c r="Z61" i="23"/>
  <c r="W34" i="23"/>
  <c r="X34" i="23" s="1"/>
  <c r="W34" i="7"/>
  <c r="W38" i="23"/>
  <c r="W38" i="7"/>
  <c r="K15" i="7"/>
  <c r="K15" i="23"/>
  <c r="L15" i="23" s="1"/>
  <c r="W54" i="7"/>
  <c r="W54" i="23"/>
  <c r="T54" i="7"/>
  <c r="T54" i="23"/>
  <c r="N24" i="7"/>
  <c r="N24" i="23"/>
  <c r="O24" i="23" s="1"/>
  <c r="Q58" i="23"/>
  <c r="Q58" i="7"/>
  <c r="T63" i="23"/>
  <c r="T63" i="7"/>
  <c r="K56" i="23"/>
  <c r="K56" i="7"/>
  <c r="N63" i="23"/>
  <c r="N63" i="7"/>
  <c r="N52" i="7"/>
  <c r="N52" i="23"/>
  <c r="Z43" i="23"/>
  <c r="Q24" i="7"/>
  <c r="Q24" i="23"/>
  <c r="R24" i="23" s="1"/>
  <c r="Z63" i="23"/>
  <c r="Z33" i="23"/>
  <c r="W58" i="7"/>
  <c r="W58" i="23"/>
  <c r="K14" i="23"/>
  <c r="L14" i="23" s="1"/>
  <c r="K14" i="7"/>
  <c r="Z42" i="23"/>
  <c r="N43" i="7"/>
  <c r="N43" i="23"/>
  <c r="Z57" i="23"/>
  <c r="T16" i="23"/>
  <c r="U16" i="23" s="1"/>
  <c r="T16" i="7"/>
  <c r="Q47" i="23"/>
  <c r="Q47" i="7"/>
  <c r="W47" i="7"/>
  <c r="W47" i="23"/>
  <c r="Z46" i="23"/>
  <c r="N65" i="23"/>
  <c r="N65" i="7"/>
  <c r="Q31" i="7"/>
  <c r="Q31" i="23"/>
  <c r="R31" i="23" s="1"/>
  <c r="Q43" i="23"/>
  <c r="Q43" i="7"/>
  <c r="N11" i="23"/>
  <c r="O11" i="23" s="1"/>
  <c r="N11" i="7"/>
  <c r="Q29" i="7"/>
  <c r="Q29" i="23"/>
  <c r="R29" i="23" s="1"/>
  <c r="Q9" i="23"/>
  <c r="R9" i="23" s="1"/>
  <c r="Q9" i="7"/>
  <c r="K20" i="23"/>
  <c r="L20" i="23" s="1"/>
  <c r="K20" i="7"/>
  <c r="T29" i="23"/>
  <c r="U29" i="23" s="1"/>
  <c r="T29" i="7"/>
  <c r="N28" i="7"/>
  <c r="N28" i="23"/>
  <c r="O28" i="23" s="1"/>
  <c r="Z56" i="23"/>
  <c r="W35" i="23"/>
  <c r="X35" i="23" s="1"/>
  <c r="W35" i="7"/>
  <c r="K61" i="7"/>
  <c r="K61" i="23"/>
  <c r="W21" i="7"/>
  <c r="W21" i="23"/>
  <c r="N20" i="23"/>
  <c r="O20" i="23" s="1"/>
  <c r="N20" i="7"/>
  <c r="T20" i="23"/>
  <c r="U20" i="23" s="1"/>
  <c r="T20" i="7"/>
  <c r="Q61" i="23"/>
  <c r="Q61" i="7"/>
  <c r="K39" i="23"/>
  <c r="K39" i="7"/>
  <c r="Z58" i="23"/>
  <c r="N38" i="7"/>
  <c r="N38" i="23"/>
  <c r="T41" i="7"/>
  <c r="T41" i="23"/>
  <c r="W23" i="23"/>
  <c r="W23" i="7"/>
  <c r="Q25" i="23"/>
  <c r="R25" i="23" s="1"/>
  <c r="Q25" i="7"/>
  <c r="W11" i="7"/>
  <c r="W11" i="23"/>
  <c r="T18" i="7"/>
  <c r="T18" i="23"/>
  <c r="U18" i="23" s="1"/>
  <c r="Q54" i="23"/>
  <c r="Q54" i="7"/>
  <c r="Q15" i="7"/>
  <c r="Q15" i="23"/>
  <c r="R15" i="23" s="1"/>
  <c r="T24" i="23"/>
  <c r="U24" i="23" s="1"/>
  <c r="T24" i="7"/>
  <c r="K49" i="7"/>
  <c r="K49" i="23"/>
  <c r="W53" i="7"/>
  <c r="W53" i="23"/>
  <c r="Z51" i="23"/>
  <c r="N9" i="7"/>
  <c r="N9" i="23"/>
  <c r="O9" i="23" s="1"/>
  <c r="N37" i="23"/>
  <c r="N37" i="7"/>
  <c r="Z52" i="23"/>
  <c r="K68" i="23"/>
  <c r="K68" i="7"/>
  <c r="N33" i="7"/>
  <c r="N33" i="23"/>
  <c r="Z40" i="23"/>
  <c r="N45" i="23"/>
  <c r="N45" i="7"/>
  <c r="K41" i="23"/>
  <c r="K41" i="7"/>
  <c r="W13" i="7"/>
  <c r="W13" i="23"/>
  <c r="Q30" i="23"/>
  <c r="R30" i="23" s="1"/>
  <c r="Q30" i="7"/>
  <c r="Q59" i="7"/>
  <c r="Q59" i="23"/>
  <c r="Q12" i="23"/>
  <c r="R12" i="23" s="1"/>
  <c r="Q12" i="7"/>
  <c r="K11" i="7"/>
  <c r="K11" i="23"/>
  <c r="L11" i="23" s="1"/>
  <c r="N67" i="7"/>
  <c r="N67" i="23"/>
  <c r="W18" i="23"/>
  <c r="W18" i="7"/>
  <c r="Q46" i="23"/>
  <c r="Q46" i="7"/>
  <c r="N26" i="23"/>
  <c r="O26" i="23" s="1"/>
  <c r="N26" i="7"/>
  <c r="T66" i="23"/>
  <c r="T66" i="7"/>
  <c r="N62" i="23"/>
  <c r="N62" i="7"/>
  <c r="N61" i="23"/>
  <c r="N61" i="7"/>
  <c r="Z41" i="23"/>
  <c r="T28" i="23"/>
  <c r="U28" i="23" s="1"/>
  <c r="T28" i="7"/>
  <c r="W43" i="23"/>
  <c r="W43" i="7"/>
  <c r="T65" i="7"/>
  <c r="T65" i="23"/>
  <c r="K60" i="7"/>
  <c r="K60" i="23"/>
  <c r="N44" i="7"/>
  <c r="N44" i="23"/>
  <c r="W44" i="23"/>
  <c r="W44" i="7"/>
  <c r="W56" i="7"/>
  <c r="W56" i="23"/>
  <c r="Q55" i="23"/>
  <c r="Q55" i="7"/>
  <c r="K43" i="23"/>
  <c r="K43" i="7"/>
  <c r="K62" i="23"/>
  <c r="K62" i="7"/>
  <c r="T17" i="23"/>
  <c r="U17" i="23" s="1"/>
  <c r="T17" i="7"/>
  <c r="K48" i="7"/>
  <c r="K48" i="23"/>
  <c r="T33" i="23"/>
  <c r="T33" i="7"/>
  <c r="Q63" i="7"/>
  <c r="Q63" i="23"/>
  <c r="N68" i="7"/>
  <c r="N68" i="23"/>
  <c r="W57" i="7"/>
  <c r="W57" i="23"/>
  <c r="W51" i="23"/>
  <c r="W51" i="7"/>
  <c r="Q41" i="7"/>
  <c r="Q41" i="23"/>
  <c r="Q27" i="23"/>
  <c r="R27" i="23" s="1"/>
  <c r="Q27" i="7"/>
  <c r="T68" i="7"/>
  <c r="T68" i="23"/>
  <c r="K52" i="23"/>
  <c r="K52" i="7"/>
  <c r="T44" i="23"/>
  <c r="T44" i="7"/>
  <c r="K12" i="23"/>
  <c r="L12" i="23" s="1"/>
  <c r="K12" i="7"/>
  <c r="W10" i="23"/>
  <c r="W10" i="7"/>
  <c r="N31" i="23"/>
  <c r="O31" i="23" s="1"/>
  <c r="N31" i="7"/>
  <c r="Q56" i="23"/>
  <c r="Q56" i="7"/>
  <c r="T42" i="23"/>
  <c r="T42" i="7"/>
  <c r="W37" i="7"/>
  <c r="W37" i="23"/>
  <c r="N59" i="7"/>
  <c r="N59" i="23"/>
  <c r="W22" i="23"/>
  <c r="W22" i="7"/>
  <c r="N41" i="23"/>
  <c r="N41" i="7"/>
  <c r="K17" i="7"/>
  <c r="K17" i="23"/>
  <c r="L17" i="23" s="1"/>
  <c r="Z68" i="23"/>
  <c r="Q44" i="7"/>
  <c r="Q44" i="23"/>
  <c r="T57" i="23"/>
  <c r="T57" i="7"/>
  <c r="T13" i="23"/>
  <c r="U13" i="23" s="1"/>
  <c r="T13" i="7"/>
  <c r="T49" i="23"/>
  <c r="T49" i="7"/>
  <c r="K44" i="23"/>
  <c r="K44" i="7"/>
  <c r="Z64" i="23"/>
  <c r="N48" i="23"/>
  <c r="N48" i="7"/>
  <c r="Z62" i="23"/>
  <c r="K54" i="7"/>
  <c r="K54" i="23"/>
  <c r="T43" i="7"/>
  <c r="T43" i="23"/>
  <c r="N56" i="23"/>
  <c r="N56" i="7"/>
  <c r="W59" i="23"/>
  <c r="W59" i="7"/>
  <c r="AE66" i="7"/>
  <c r="AE12" i="7"/>
  <c r="AG19" i="7"/>
  <c r="AI51" i="23"/>
  <c r="AK61" i="23"/>
  <c r="AE51" i="7"/>
  <c r="AG50" i="23"/>
  <c r="AI38" i="7"/>
  <c r="AC55" i="7"/>
  <c r="AC9" i="7"/>
  <c r="AM55" i="23"/>
  <c r="AC47" i="7"/>
  <c r="AE47" i="23"/>
  <c r="AG17" i="7"/>
  <c r="AC58" i="23"/>
  <c r="AG11" i="7"/>
  <c r="AG68" i="23"/>
  <c r="AM44" i="23"/>
  <c r="AG67" i="23"/>
  <c r="AE42" i="23"/>
  <c r="AK67" i="7"/>
  <c r="AK15" i="7"/>
  <c r="AG10" i="7"/>
  <c r="AI48" i="7"/>
  <c r="AI64" i="7"/>
  <c r="AK62" i="23"/>
  <c r="AE29" i="7"/>
  <c r="AM65" i="23"/>
  <c r="AG26" i="7"/>
  <c r="AE27" i="7"/>
  <c r="AI10" i="7"/>
  <c r="AI47" i="7"/>
  <c r="AK68" i="23"/>
  <c r="AC42" i="7"/>
  <c r="AI58" i="23"/>
  <c r="AK40" i="7"/>
  <c r="AC18" i="7"/>
  <c r="AM61" i="23"/>
  <c r="AK54" i="23"/>
  <c r="AI63" i="7"/>
  <c r="AG24" i="7"/>
  <c r="AM42" i="23"/>
  <c r="AK47" i="7"/>
  <c r="AG43" i="7"/>
  <c r="AC20" i="7"/>
  <c r="AC61" i="7"/>
  <c r="AG61" i="23"/>
  <c r="AI41" i="23"/>
  <c r="AC49" i="23"/>
  <c r="AM52" i="23"/>
  <c r="AC41" i="23"/>
  <c r="AG46" i="23"/>
  <c r="AE61" i="23"/>
  <c r="AI65" i="23"/>
  <c r="AK56" i="23"/>
  <c r="AI17" i="7"/>
  <c r="AE68" i="23"/>
  <c r="AG27" i="7"/>
  <c r="AC12" i="7"/>
  <c r="AI42" i="7"/>
  <c r="AE41" i="7"/>
  <c r="AE48" i="7"/>
  <c r="AK59" i="23"/>
  <c r="AK57" i="7"/>
  <c r="AM62" i="23"/>
  <c r="AG60" i="23"/>
  <c r="AM54" i="23"/>
  <c r="AG39" i="23"/>
  <c r="AI54" i="23"/>
  <c r="AM63" i="23"/>
  <c r="AE11" i="7"/>
  <c r="AC39" i="23"/>
  <c r="AG54" i="7"/>
  <c r="AC68" i="7"/>
  <c r="AC60" i="23"/>
  <c r="AK57" i="23"/>
  <c r="AK10" i="7"/>
  <c r="AI55" i="23"/>
  <c r="AC38" i="23"/>
  <c r="AI12" i="7"/>
  <c r="AG14" i="7"/>
  <c r="AG33" i="7"/>
  <c r="AE25" i="7"/>
  <c r="AI40" i="23"/>
  <c r="AM49" i="23"/>
  <c r="AE19" i="7"/>
  <c r="AG28" i="7"/>
  <c r="AK52" i="7"/>
  <c r="AI67" i="23"/>
  <c r="AC65" i="7"/>
  <c r="AC53" i="23"/>
  <c r="AE24" i="7"/>
  <c r="AM57" i="23"/>
  <c r="AE28" i="7"/>
  <c r="AC39" i="7"/>
  <c r="AG15" i="7"/>
  <c r="AE33" i="7"/>
  <c r="AE26" i="7"/>
  <c r="AE44" i="7"/>
  <c r="AI33" i="23"/>
  <c r="AI49" i="7"/>
  <c r="AK39" i="7"/>
  <c r="AC19" i="7"/>
  <c r="AI46" i="23"/>
  <c r="AK14" i="7"/>
  <c r="AM59" i="23"/>
  <c r="AK17" i="23"/>
  <c r="AI61" i="7"/>
  <c r="AG49" i="23"/>
  <c r="AG52" i="23"/>
  <c r="AC65" i="23"/>
  <c r="AK38" i="7"/>
  <c r="AK58" i="7"/>
  <c r="AM58" i="23"/>
  <c r="AE33" i="23"/>
  <c r="AI66" i="23"/>
  <c r="AC43" i="7"/>
  <c r="AC52" i="7"/>
  <c r="AG44" i="7"/>
  <c r="AK39" i="23"/>
  <c r="AI53" i="7"/>
  <c r="AK9" i="7"/>
  <c r="AE49" i="23"/>
  <c r="AK14" i="23"/>
  <c r="AK65" i="7"/>
  <c r="AG57" i="23"/>
  <c r="AM45" i="23"/>
  <c r="AG49" i="7"/>
  <c r="AI14" i="7"/>
  <c r="AE52" i="7"/>
  <c r="AM56" i="23"/>
  <c r="AE38" i="7"/>
  <c r="AM40" i="23"/>
  <c r="AC62" i="23"/>
  <c r="AI44" i="23"/>
  <c r="AG56" i="23"/>
  <c r="AC44" i="7"/>
  <c r="AI31" i="7"/>
  <c r="AI53" i="23"/>
  <c r="AC59" i="23"/>
  <c r="AG65" i="7"/>
  <c r="AM37" i="23"/>
  <c r="AI50" i="7"/>
  <c r="AE60" i="23"/>
  <c r="AC33" i="23"/>
  <c r="AC16" i="7"/>
  <c r="AI24" i="7"/>
  <c r="AE62" i="23"/>
  <c r="AC62" i="7"/>
  <c r="AG56" i="7"/>
  <c r="AK22" i="7"/>
  <c r="AE56" i="23"/>
  <c r="AE47" i="7"/>
  <c r="AG40" i="23"/>
  <c r="AE55" i="23"/>
  <c r="AC51" i="7"/>
  <c r="AK68" i="7"/>
  <c r="AC42" i="23"/>
  <c r="AI63" i="23"/>
  <c r="AG43" i="23"/>
  <c r="AC49" i="7"/>
  <c r="AE45" i="7"/>
  <c r="AK18" i="7"/>
  <c r="AE68" i="7"/>
  <c r="AE41" i="23"/>
  <c r="AE66" i="23"/>
  <c r="AI51" i="7"/>
  <c r="AI30" i="7"/>
  <c r="AK61" i="7"/>
  <c r="AC67" i="23"/>
  <c r="AG50" i="7"/>
  <c r="AI38" i="23"/>
  <c r="AC55" i="23"/>
  <c r="AE58" i="23"/>
  <c r="AE40" i="7"/>
  <c r="AK46" i="7"/>
  <c r="AG53" i="7"/>
  <c r="AC58" i="7"/>
  <c r="AG68" i="7"/>
  <c r="AG64" i="23"/>
  <c r="AK55" i="7"/>
  <c r="AG38" i="7"/>
  <c r="AK15" i="23"/>
  <c r="AI48" i="23"/>
  <c r="AI64" i="23"/>
  <c r="AK62" i="7"/>
  <c r="AG45" i="23"/>
  <c r="AI52" i="23"/>
  <c r="AI27" i="7"/>
  <c r="AI47" i="23"/>
  <c r="AK50" i="23"/>
  <c r="AI19" i="7"/>
  <c r="AC10" i="7"/>
  <c r="AC57" i="7"/>
  <c r="AI58" i="7"/>
  <c r="AK40" i="23"/>
  <c r="AM39" i="23"/>
  <c r="AI54" i="7"/>
  <c r="AC56" i="23"/>
  <c r="AE43" i="7"/>
  <c r="AK47" i="23"/>
  <c r="AC61" i="23"/>
  <c r="AG61" i="7"/>
  <c r="AK23" i="23"/>
  <c r="AG54" i="23"/>
  <c r="AK53" i="7"/>
  <c r="AC68" i="23"/>
  <c r="AC41" i="7"/>
  <c r="AG12" i="7"/>
  <c r="AG46" i="7"/>
  <c r="AE61" i="7"/>
  <c r="AC60" i="7"/>
  <c r="AG55" i="23"/>
  <c r="AC48" i="7"/>
  <c r="AI68" i="7"/>
  <c r="AK10" i="23"/>
  <c r="AK37" i="7"/>
  <c r="AC17" i="7"/>
  <c r="AI13" i="7"/>
  <c r="AK59" i="7"/>
  <c r="AK49" i="23"/>
  <c r="AC57" i="23"/>
  <c r="AC53" i="7"/>
  <c r="AC56" i="7"/>
  <c r="AM46" i="23"/>
  <c r="AK21" i="7"/>
  <c r="AK53" i="23"/>
  <c r="AK13" i="7"/>
  <c r="AM41" i="23"/>
  <c r="AC48" i="23"/>
  <c r="AK37" i="23"/>
  <c r="AC54" i="7"/>
  <c r="AC63" i="7"/>
  <c r="AE54" i="23"/>
  <c r="AK20" i="7"/>
  <c r="AG62" i="23"/>
  <c r="AI45" i="7"/>
  <c r="AE53" i="7"/>
  <c r="AK48" i="7"/>
  <c r="AC45" i="7"/>
  <c r="AG37" i="23"/>
  <c r="AK38" i="23"/>
  <c r="AM33" i="23"/>
  <c r="AG29" i="7"/>
  <c r="AK13" i="23"/>
  <c r="AK51" i="23"/>
  <c r="AE59" i="7"/>
  <c r="AC54" i="23"/>
  <c r="AK45" i="7"/>
  <c r="AK9" i="23"/>
  <c r="AE54" i="7"/>
  <c r="AG33" i="23"/>
  <c r="AK65" i="23"/>
  <c r="AE10" i="7"/>
  <c r="AG57" i="7"/>
  <c r="AI62" i="7"/>
  <c r="AG48" i="7"/>
  <c r="AI39" i="7"/>
  <c r="AE9" i="7"/>
  <c r="AE67" i="7"/>
  <c r="AE44" i="23"/>
  <c r="AE31" i="7"/>
  <c r="AC44" i="23"/>
  <c r="AK45" i="23"/>
  <c r="AG51" i="23"/>
  <c r="AG65" i="23"/>
  <c r="AE46" i="7"/>
  <c r="AI50" i="23"/>
  <c r="AK17" i="7"/>
  <c r="AI61" i="23"/>
  <c r="AK63" i="7"/>
  <c r="AG48" i="23"/>
  <c r="AM47" i="23"/>
  <c r="AE14" i="7"/>
  <c r="AK58" i="23"/>
  <c r="AE20" i="7"/>
  <c r="AI66" i="7"/>
  <c r="AG41" i="7"/>
  <c r="AG44" i="23"/>
  <c r="AI11" i="7"/>
  <c r="AC46" i="23"/>
  <c r="AE18" i="7"/>
  <c r="AK41" i="23"/>
  <c r="AG18" i="7"/>
  <c r="AE55" i="7"/>
  <c r="AE15" i="7"/>
  <c r="AK16" i="23"/>
  <c r="AG58" i="7"/>
  <c r="AG47" i="23"/>
  <c r="AE38" i="23"/>
  <c r="AE45" i="23"/>
  <c r="AK43" i="7"/>
  <c r="AI44" i="7"/>
  <c r="AM64" i="23"/>
  <c r="AC13" i="7"/>
  <c r="AC33" i="7"/>
  <c r="AK16" i="7"/>
  <c r="AK54" i="7"/>
  <c r="AC14" i="7"/>
  <c r="AK35" i="7"/>
  <c r="AE37" i="7"/>
  <c r="AK56" i="7"/>
  <c r="AI57" i="7"/>
  <c r="AC40" i="7"/>
  <c r="AG20" i="7"/>
  <c r="AI55" i="7"/>
  <c r="AC63" i="23"/>
  <c r="AC64" i="7"/>
  <c r="AG42" i="23"/>
  <c r="AC67" i="7"/>
  <c r="AC38" i="7"/>
  <c r="AE58" i="7"/>
  <c r="AE40" i="23"/>
  <c r="AK46" i="23"/>
  <c r="AG53" i="23"/>
  <c r="AK20" i="23"/>
  <c r="AI40" i="7"/>
  <c r="AI60" i="23"/>
  <c r="AG13" i="7"/>
  <c r="AG64" i="7"/>
  <c r="AK55" i="23"/>
  <c r="AG38" i="23"/>
  <c r="AI25" i="7"/>
  <c r="AE53" i="23"/>
  <c r="AG45" i="7"/>
  <c r="AI52" i="7"/>
  <c r="AI56" i="7"/>
  <c r="AK52" i="23"/>
  <c r="AM38" i="23"/>
  <c r="AK50" i="7"/>
  <c r="AI67" i="7"/>
  <c r="AG37" i="7"/>
  <c r="AK34" i="7"/>
  <c r="AE43" i="23"/>
  <c r="AI29" i="7"/>
  <c r="AK23" i="7"/>
  <c r="AC11" i="7"/>
  <c r="AG55" i="7"/>
  <c r="AI68" i="23"/>
  <c r="AI49" i="23"/>
  <c r="AG42" i="7"/>
  <c r="AI46" i="7"/>
  <c r="AI60" i="7"/>
  <c r="AG60" i="7"/>
  <c r="AK49" i="7"/>
  <c r="AI56" i="23"/>
  <c r="AG52" i="7"/>
  <c r="AI37" i="7"/>
  <c r="AG39" i="7"/>
  <c r="AE63" i="23"/>
  <c r="AE65" i="23"/>
  <c r="AK21" i="23"/>
  <c r="AM51" i="23"/>
  <c r="AC43" i="23"/>
  <c r="AC52" i="23"/>
  <c r="AM68" i="23"/>
  <c r="AI59" i="7"/>
  <c r="AE39" i="23"/>
  <c r="AG62" i="7"/>
  <c r="AI45" i="23"/>
  <c r="AK19" i="23"/>
  <c r="AK48" i="23"/>
  <c r="AC45" i="23"/>
  <c r="AI37" i="23"/>
  <c r="AM50" i="23"/>
  <c r="AE63" i="7"/>
  <c r="AE65" i="7"/>
  <c r="AI28" i="7"/>
  <c r="AK51" i="7"/>
  <c r="AE59" i="23"/>
  <c r="AI43" i="7"/>
  <c r="AI59" i="23"/>
  <c r="AE13" i="7"/>
  <c r="AM66" i="23"/>
  <c r="AC50" i="7"/>
  <c r="AK19" i="7"/>
  <c r="AM48" i="23"/>
  <c r="AM60" i="23"/>
  <c r="AI39" i="23"/>
  <c r="AC15" i="7"/>
  <c r="AK11" i="7"/>
  <c r="AG30" i="7"/>
  <c r="AG63" i="7"/>
  <c r="AK22" i="23"/>
  <c r="AI43" i="23"/>
  <c r="AE50" i="23"/>
  <c r="AK64" i="7"/>
  <c r="AE49" i="7"/>
  <c r="AI9" i="7"/>
  <c r="AK60" i="23"/>
  <c r="AC51" i="23"/>
  <c r="AK36" i="7"/>
  <c r="AE52" i="23"/>
  <c r="AG9" i="7"/>
  <c r="AK11" i="23"/>
  <c r="AK18" i="23"/>
  <c r="AG63" i="23"/>
  <c r="AI57" i="23"/>
  <c r="AI32" i="7"/>
  <c r="AK66" i="7"/>
  <c r="AM43" i="23"/>
  <c r="AI41" i="7"/>
  <c r="AG59" i="23"/>
  <c r="AE48" i="23"/>
  <c r="AC40" i="23"/>
  <c r="AC64" i="23"/>
  <c r="AE39" i="7"/>
  <c r="AI26" i="7"/>
  <c r="AI62" i="23"/>
  <c r="AE57" i="23"/>
  <c r="AE16" i="7"/>
  <c r="AI16" i="7"/>
  <c r="AK44" i="23"/>
  <c r="AC37" i="7"/>
  <c r="AC66" i="7"/>
  <c r="AK63" i="23"/>
  <c r="AE17" i="7"/>
  <c r="AK44" i="7"/>
  <c r="AK67" i="23"/>
  <c r="AE57" i="7"/>
  <c r="AG66" i="23"/>
  <c r="AE32" i="7"/>
  <c r="AG51" i="7"/>
  <c r="AE46" i="23"/>
  <c r="AG32" i="7"/>
  <c r="AG25" i="7"/>
  <c r="AI33" i="7"/>
  <c r="AG66" i="7"/>
  <c r="AG31" i="7"/>
  <c r="AK43" i="23"/>
  <c r="AC24" i="7"/>
  <c r="AC50" i="23"/>
  <c r="AK66" i="23"/>
  <c r="AK12" i="7"/>
  <c r="AG41" i="23"/>
  <c r="AG67" i="7"/>
  <c r="AI18" i="7"/>
  <c r="AI42" i="23"/>
  <c r="AC37" i="23"/>
  <c r="AK41" i="7"/>
  <c r="AE60" i="7"/>
  <c r="AG58" i="23"/>
  <c r="AE67" i="23"/>
  <c r="AK42" i="23"/>
  <c r="AE64" i="23"/>
  <c r="AG40" i="7"/>
  <c r="AE30" i="7"/>
  <c r="AG59" i="7"/>
  <c r="AK60" i="7"/>
  <c r="AG47" i="7"/>
  <c r="AI65" i="7"/>
  <c r="AE37" i="23"/>
  <c r="AE50" i="7"/>
  <c r="AK42" i="7"/>
  <c r="AE51" i="23"/>
  <c r="AM53" i="23"/>
  <c r="AC46" i="7"/>
  <c r="AK64" i="23"/>
  <c r="AC59" i="7"/>
  <c r="AC47" i="23"/>
  <c r="AC66" i="23"/>
  <c r="AE64" i="7"/>
  <c r="AE42" i="7"/>
  <c r="AM67" i="23"/>
  <c r="AI15" i="7"/>
  <c r="AG16" i="7"/>
  <c r="AK12" i="23"/>
  <c r="AI20" i="7"/>
  <c r="AE62" i="7"/>
  <c r="AE56" i="7"/>
  <c r="O56" i="7" l="1"/>
  <c r="O62" i="7"/>
  <c r="U20" i="7"/>
  <c r="X12" i="23"/>
  <c r="R16" i="7"/>
  <c r="U15" i="7"/>
  <c r="AA67" i="23"/>
  <c r="O42" i="7"/>
  <c r="O64" i="7"/>
  <c r="L66" i="23"/>
  <c r="L47" i="23"/>
  <c r="L59" i="7"/>
  <c r="X64" i="23"/>
  <c r="L46" i="7"/>
  <c r="AA53" i="23"/>
  <c r="O51" i="23"/>
  <c r="X42" i="7"/>
  <c r="O50" i="7"/>
  <c r="O37" i="23"/>
  <c r="U65" i="7"/>
  <c r="R47" i="7"/>
  <c r="X60" i="7"/>
  <c r="R59" i="7"/>
  <c r="O30" i="7"/>
  <c r="R40" i="7"/>
  <c r="O64" i="23"/>
  <c r="X42" i="23"/>
  <c r="O67" i="23"/>
  <c r="R58" i="23"/>
  <c r="O60" i="7"/>
  <c r="X41" i="7"/>
  <c r="L37" i="23"/>
  <c r="U42" i="23"/>
  <c r="U18" i="7"/>
  <c r="R67" i="7"/>
  <c r="R41" i="23"/>
  <c r="X12" i="7"/>
  <c r="X66" i="23"/>
  <c r="L50" i="23"/>
  <c r="L24" i="7"/>
  <c r="X43" i="23"/>
  <c r="R31" i="7"/>
  <c r="R66" i="7"/>
  <c r="U33" i="7"/>
  <c r="R25" i="7"/>
  <c r="R32" i="7"/>
  <c r="O46" i="23"/>
  <c r="R51" i="7"/>
  <c r="O32" i="7"/>
  <c r="R66" i="23"/>
  <c r="O57" i="7"/>
  <c r="X67" i="23"/>
  <c r="X44" i="7"/>
  <c r="O17" i="7"/>
  <c r="X63" i="23"/>
  <c r="L66" i="7"/>
  <c r="L37" i="7"/>
  <c r="X44" i="23"/>
  <c r="U16" i="7"/>
  <c r="O16" i="7"/>
  <c r="O57" i="23"/>
  <c r="U62" i="23"/>
  <c r="U26" i="7"/>
  <c r="O39" i="7"/>
  <c r="L64" i="23"/>
  <c r="L40" i="23"/>
  <c r="O48" i="23"/>
  <c r="R59" i="23"/>
  <c r="U41" i="7"/>
  <c r="AA43" i="23"/>
  <c r="X66" i="7"/>
  <c r="U32" i="7"/>
  <c r="U57" i="23"/>
  <c r="R63" i="23"/>
  <c r="X18" i="23"/>
  <c r="X11" i="23"/>
  <c r="R9" i="7"/>
  <c r="O52" i="23"/>
  <c r="X36" i="7"/>
  <c r="L51" i="23"/>
  <c r="X60" i="23"/>
  <c r="U9" i="7"/>
  <c r="O49" i="7"/>
  <c r="X64" i="7"/>
  <c r="O50" i="23"/>
  <c r="U43" i="23"/>
  <c r="X22" i="23"/>
  <c r="R63" i="7"/>
  <c r="R30" i="7"/>
  <c r="X11" i="7"/>
  <c r="L15" i="7"/>
  <c r="U39" i="23"/>
  <c r="AA60" i="23"/>
  <c r="AA48" i="23"/>
  <c r="X19" i="7"/>
  <c r="L50" i="7"/>
  <c r="AA66" i="23"/>
  <c r="O13" i="7"/>
  <c r="U59" i="23"/>
  <c r="U43" i="7"/>
  <c r="O59" i="23"/>
  <c r="X51" i="7"/>
  <c r="U28" i="7"/>
  <c r="O65" i="7"/>
  <c r="O63" i="7"/>
  <c r="AA50" i="23"/>
  <c r="U37" i="23"/>
  <c r="L45" i="23"/>
  <c r="X48" i="23"/>
  <c r="X19" i="23"/>
  <c r="U45" i="23"/>
  <c r="R62" i="7"/>
  <c r="O39" i="23"/>
  <c r="U59" i="7"/>
  <c r="AA68" i="23"/>
  <c r="L52" i="23"/>
  <c r="L43" i="23"/>
  <c r="AA51" i="23"/>
  <c r="X21" i="23"/>
  <c r="O65" i="23"/>
  <c r="O63" i="23"/>
  <c r="R39" i="7"/>
  <c r="U37" i="7"/>
  <c r="R52" i="7"/>
  <c r="U56" i="23"/>
  <c r="X49" i="7"/>
  <c r="R60" i="7"/>
  <c r="U60" i="7"/>
  <c r="U46" i="7"/>
  <c r="R42" i="7"/>
  <c r="U49" i="23"/>
  <c r="U68" i="23"/>
  <c r="R55" i="7"/>
  <c r="L11" i="7"/>
  <c r="X23" i="7"/>
  <c r="U29" i="7"/>
  <c r="O43" i="23"/>
  <c r="X34" i="7"/>
  <c r="R37" i="7"/>
  <c r="U67" i="7"/>
  <c r="X50" i="7"/>
  <c r="AA38" i="23"/>
  <c r="X52" i="23"/>
  <c r="U56" i="7"/>
  <c r="U52" i="7"/>
  <c r="R45" i="7"/>
  <c r="O53" i="23"/>
  <c r="U25" i="7"/>
  <c r="R38" i="23"/>
  <c r="X55" i="23"/>
  <c r="R64" i="7"/>
  <c r="R13" i="7"/>
  <c r="U60" i="23"/>
  <c r="U40" i="7"/>
  <c r="X20" i="23"/>
  <c r="R53" i="23"/>
  <c r="X46" i="23"/>
  <c r="O40" i="23"/>
  <c r="O58" i="7"/>
  <c r="L38" i="7"/>
  <c r="L67" i="7"/>
  <c r="R42" i="23"/>
  <c r="L64" i="7"/>
  <c r="L63" i="23"/>
  <c r="U55" i="7"/>
  <c r="R20" i="7"/>
  <c r="L40" i="7"/>
  <c r="U57" i="7"/>
  <c r="X56" i="7"/>
  <c r="O37" i="7"/>
  <c r="X35" i="7"/>
  <c r="L14" i="7"/>
  <c r="X54" i="7"/>
  <c r="X16" i="7"/>
  <c r="L33" i="7"/>
  <c r="L13" i="7"/>
  <c r="AA64" i="23"/>
  <c r="U44" i="7"/>
  <c r="X43" i="7"/>
  <c r="O45" i="23"/>
  <c r="O38" i="23"/>
  <c r="R47" i="23"/>
  <c r="R58" i="7"/>
  <c r="X16" i="23"/>
  <c r="O15" i="7"/>
  <c r="O55" i="7"/>
  <c r="R18" i="7"/>
  <c r="X41" i="23"/>
  <c r="O18" i="7"/>
  <c r="L46" i="23"/>
  <c r="U11" i="7"/>
  <c r="R44" i="23"/>
  <c r="R41" i="7"/>
  <c r="U66" i="7"/>
  <c r="O20" i="7"/>
  <c r="X58" i="23"/>
  <c r="O14" i="7"/>
  <c r="AA47" i="23"/>
  <c r="R48" i="23"/>
  <c r="X63" i="7"/>
  <c r="U61" i="23"/>
  <c r="X17" i="7"/>
  <c r="U50" i="23"/>
  <c r="O46" i="7"/>
  <c r="R65" i="23"/>
  <c r="R51" i="23"/>
  <c r="X45" i="23"/>
  <c r="L44" i="23"/>
  <c r="O31" i="7"/>
  <c r="O44" i="23"/>
  <c r="O67" i="7"/>
  <c r="O9" i="7"/>
  <c r="U39" i="7"/>
  <c r="R48" i="7"/>
  <c r="U62" i="7"/>
  <c r="R57" i="7"/>
  <c r="O10" i="7"/>
  <c r="X65" i="23"/>
  <c r="R33" i="23"/>
  <c r="O54" i="7"/>
  <c r="X9" i="23"/>
  <c r="X45" i="7"/>
  <c r="L54" i="23"/>
  <c r="O59" i="7"/>
  <c r="X51" i="23"/>
  <c r="X13" i="23"/>
  <c r="R29" i="7"/>
  <c r="AA33" i="23"/>
  <c r="X38" i="23"/>
  <c r="R37" i="23"/>
  <c r="L45" i="7"/>
  <c r="X48" i="7"/>
  <c r="O53" i="7"/>
  <c r="U45" i="7"/>
  <c r="R62" i="23"/>
  <c r="X20" i="7"/>
  <c r="O54" i="23"/>
  <c r="L63" i="7"/>
  <c r="L54" i="7"/>
  <c r="X37" i="23"/>
  <c r="L48" i="23"/>
  <c r="AA41" i="23"/>
  <c r="X13" i="7"/>
  <c r="X53" i="23"/>
  <c r="X21" i="7"/>
  <c r="AA46" i="23"/>
  <c r="L56" i="7"/>
  <c r="L53" i="7"/>
  <c r="L57" i="23"/>
  <c r="X49" i="23"/>
  <c r="X59" i="7"/>
  <c r="U13" i="7"/>
  <c r="L17" i="7"/>
  <c r="X37" i="7"/>
  <c r="X10" i="23"/>
  <c r="U68" i="7"/>
  <c r="L48" i="7"/>
  <c r="R55" i="23"/>
  <c r="L60" i="7"/>
  <c r="O61" i="7"/>
  <c r="R46" i="7"/>
  <c r="R12" i="7"/>
  <c r="L41" i="7"/>
  <c r="L68" i="23"/>
  <c r="X53" i="7"/>
  <c r="R54" i="23"/>
  <c r="X23" i="23"/>
  <c r="R61" i="7"/>
  <c r="L61" i="23"/>
  <c r="X47" i="23"/>
  <c r="O43" i="7"/>
  <c r="L56" i="23"/>
  <c r="U54" i="7"/>
  <c r="AA39" i="23"/>
  <c r="X40" i="23"/>
  <c r="U58" i="7"/>
  <c r="L57" i="7"/>
  <c r="L10" i="7"/>
  <c r="U19" i="7"/>
  <c r="X50" i="23"/>
  <c r="U47" i="23"/>
  <c r="U27" i="7"/>
  <c r="U52" i="23"/>
  <c r="R45" i="23"/>
  <c r="X62" i="7"/>
  <c r="U64" i="23"/>
  <c r="U48" i="23"/>
  <c r="X15" i="23"/>
  <c r="R38" i="7"/>
  <c r="X55" i="7"/>
  <c r="R64" i="23"/>
  <c r="R68" i="7"/>
  <c r="L58" i="7"/>
  <c r="R53" i="7"/>
  <c r="X46" i="7"/>
  <c r="O40" i="7"/>
  <c r="O58" i="23"/>
  <c r="L55" i="23"/>
  <c r="U38" i="23"/>
  <c r="R50" i="7"/>
  <c r="L67" i="23"/>
  <c r="X61" i="7"/>
  <c r="U30" i="7"/>
  <c r="U51" i="7"/>
  <c r="O66" i="23"/>
  <c r="O41" i="23"/>
  <c r="O68" i="7"/>
  <c r="X18" i="7"/>
  <c r="O45" i="7"/>
  <c r="L49" i="7"/>
  <c r="R43" i="23"/>
  <c r="U63" i="23"/>
  <c r="L42" i="23"/>
  <c r="X68" i="7"/>
  <c r="L51" i="7"/>
  <c r="O55" i="23"/>
  <c r="R40" i="23"/>
  <c r="O47" i="7"/>
  <c r="O56" i="23"/>
  <c r="X22" i="7"/>
  <c r="R56" i="7"/>
  <c r="L62" i="7"/>
  <c r="O62" i="23"/>
  <c r="U24" i="7"/>
  <c r="L16" i="7"/>
  <c r="L33" i="23"/>
  <c r="O60" i="23"/>
  <c r="U50" i="7"/>
  <c r="AA37" i="23"/>
  <c r="R65" i="7"/>
  <c r="L59" i="23"/>
  <c r="U53" i="23"/>
  <c r="U31" i="7"/>
  <c r="L44" i="7"/>
  <c r="R56" i="23"/>
  <c r="U44" i="23"/>
  <c r="L62" i="23"/>
  <c r="AA40" i="23"/>
  <c r="O38" i="7"/>
  <c r="AA56" i="23"/>
  <c r="O52" i="7"/>
  <c r="U14" i="7"/>
  <c r="R49" i="7"/>
  <c r="AA45" i="23"/>
  <c r="R57" i="23"/>
  <c r="X65" i="7"/>
  <c r="X14" i="23"/>
  <c r="O49" i="23"/>
  <c r="X9" i="7"/>
  <c r="U53" i="7"/>
  <c r="X39" i="23"/>
  <c r="R44" i="7"/>
  <c r="L52" i="7"/>
  <c r="L43" i="7"/>
  <c r="U66" i="23"/>
  <c r="O33" i="23"/>
  <c r="AA58" i="23"/>
  <c r="X58" i="7"/>
  <c r="X38" i="7"/>
  <c r="L65" i="23"/>
  <c r="R52" i="23"/>
  <c r="R49" i="23"/>
  <c r="U61" i="7"/>
  <c r="X17" i="23"/>
  <c r="AA59" i="23"/>
  <c r="X14" i="7"/>
  <c r="U46" i="23"/>
  <c r="L19" i="7"/>
  <c r="X39" i="7"/>
  <c r="U49" i="7"/>
  <c r="U33" i="23"/>
  <c r="O44" i="7"/>
  <c r="O26" i="7"/>
  <c r="O33" i="7"/>
  <c r="R15" i="7"/>
  <c r="L39" i="7"/>
  <c r="O28" i="7"/>
  <c r="AA57" i="23"/>
  <c r="O24" i="7"/>
  <c r="L53" i="23"/>
  <c r="L65" i="7"/>
  <c r="U67" i="23"/>
  <c r="X52" i="7"/>
  <c r="R28" i="7"/>
  <c r="O19" i="7"/>
  <c r="AA49" i="23"/>
  <c r="U40" i="23"/>
  <c r="O25" i="7"/>
  <c r="R33" i="7"/>
  <c r="R14" i="7"/>
  <c r="U12" i="7"/>
  <c r="L38" i="23"/>
  <c r="U55" i="23"/>
  <c r="X10" i="7"/>
  <c r="X57" i="23"/>
  <c r="L60" i="23"/>
  <c r="L68" i="7"/>
  <c r="R54" i="7"/>
  <c r="L39" i="23"/>
  <c r="O11" i="7"/>
  <c r="AA63" i="23"/>
  <c r="U54" i="23"/>
  <c r="R39" i="23"/>
  <c r="AA54" i="23"/>
  <c r="R60" i="23"/>
  <c r="AA62" i="23"/>
  <c r="X57" i="7"/>
  <c r="X59" i="23"/>
  <c r="O48" i="7"/>
  <c r="O41" i="7"/>
  <c r="U42" i="7"/>
  <c r="L12" i="7"/>
  <c r="R27" i="7"/>
  <c r="O68" i="23"/>
  <c r="U17" i="7"/>
  <c r="X56" i="23"/>
  <c r="U65" i="23"/>
  <c r="O61" i="23"/>
  <c r="R46" i="23"/>
  <c r="L41" i="23"/>
  <c r="AA52" i="23"/>
  <c r="L49" i="23"/>
  <c r="U41" i="23"/>
  <c r="R61" i="23"/>
  <c r="L61" i="7"/>
  <c r="L20" i="7"/>
  <c r="R43" i="7"/>
  <c r="X47" i="7"/>
  <c r="AA42" i="23"/>
  <c r="R24" i="7"/>
  <c r="U63" i="7"/>
  <c r="X54" i="23"/>
  <c r="AA61" i="23"/>
  <c r="L18" i="7"/>
  <c r="X40" i="7"/>
  <c r="U58" i="23"/>
  <c r="L42" i="7"/>
  <c r="X68" i="23"/>
  <c r="U47" i="7"/>
  <c r="U10" i="7"/>
  <c r="O27" i="7"/>
  <c r="R26" i="7"/>
  <c r="AA65" i="23"/>
  <c r="O29" i="7"/>
  <c r="X62" i="23"/>
  <c r="U64" i="7"/>
  <c r="U48" i="7"/>
  <c r="R10" i="7"/>
  <c r="X15" i="7"/>
  <c r="X67" i="7"/>
  <c r="O42" i="23"/>
  <c r="R67" i="23"/>
  <c r="AA44" i="23"/>
  <c r="R68" i="23"/>
  <c r="R11" i="7"/>
  <c r="L58" i="23"/>
  <c r="R17" i="7"/>
  <c r="O47" i="23"/>
  <c r="L47" i="7"/>
  <c r="AA55" i="23"/>
  <c r="L9" i="7"/>
  <c r="L55" i="7"/>
  <c r="U38" i="7"/>
  <c r="R50" i="23"/>
  <c r="O51" i="7"/>
  <c r="X61" i="23"/>
  <c r="U51" i="23"/>
  <c r="R19" i="7"/>
  <c r="O12" i="7"/>
  <c r="O66" i="7"/>
  <c r="AF56" i="7"/>
  <c r="AF64" i="7"/>
  <c r="AL42" i="7"/>
  <c r="AH40" i="7"/>
  <c r="AJ42" i="23"/>
  <c r="AL43" i="23"/>
  <c r="AF32" i="7"/>
  <c r="AD37" i="7"/>
  <c r="AD64" i="23"/>
  <c r="AJ57" i="23"/>
  <c r="AL60" i="23"/>
  <c r="AH30" i="7"/>
  <c r="AN66" i="23"/>
  <c r="AF63" i="7"/>
  <c r="AF39" i="23"/>
  <c r="AF63" i="23"/>
  <c r="AJ46" i="7"/>
  <c r="AF43" i="23"/>
  <c r="AJ52" i="7"/>
  <c r="AJ60" i="23"/>
  <c r="AD67" i="7"/>
  <c r="AL56" i="7"/>
  <c r="AN64" i="23"/>
  <c r="AF15" i="7"/>
  <c r="AH41" i="7"/>
  <c r="AJ61" i="23"/>
  <c r="AF31" i="7"/>
  <c r="AF10" i="7"/>
  <c r="AL51" i="23"/>
  <c r="AF53" i="7"/>
  <c r="AD48" i="23"/>
  <c r="AD57" i="23"/>
  <c r="AD48" i="7"/>
  <c r="AL53" i="7"/>
  <c r="AJ54" i="7"/>
  <c r="AJ47" i="23"/>
  <c r="AH38" i="7"/>
  <c r="AF58" i="23"/>
  <c r="AF66" i="23"/>
  <c r="AD42" i="23"/>
  <c r="AH56" i="7"/>
  <c r="AN37" i="23"/>
  <c r="AD62" i="23"/>
  <c r="AH57" i="23"/>
  <c r="AD52" i="7"/>
  <c r="AH52" i="23"/>
  <c r="AL39" i="7"/>
  <c r="AF28" i="7"/>
  <c r="AF19" i="7"/>
  <c r="AJ55" i="23"/>
  <c r="AN63" i="23"/>
  <c r="AF48" i="7"/>
  <c r="AJ65" i="23"/>
  <c r="AD61" i="7"/>
  <c r="AN61" i="23"/>
  <c r="AF27" i="7"/>
  <c r="AL15" i="7"/>
  <c r="AH17" i="7"/>
  <c r="AF51" i="7"/>
  <c r="AH31" i="7"/>
  <c r="AJ45" i="7"/>
  <c r="AH54" i="23"/>
  <c r="AJ27" i="7"/>
  <c r="AD55" i="23"/>
  <c r="AF41" i="23"/>
  <c r="AD62" i="7"/>
  <c r="AH65" i="7"/>
  <c r="AL65" i="7"/>
  <c r="AD43" i="7"/>
  <c r="AH49" i="23"/>
  <c r="AN57" i="23"/>
  <c r="AN49" i="23"/>
  <c r="AL10" i="7"/>
  <c r="AF41" i="7"/>
  <c r="AF61" i="23"/>
  <c r="AD20" i="7"/>
  <c r="AH26" i="7"/>
  <c r="AL67" i="7"/>
  <c r="AF47" i="23"/>
  <c r="AJ20" i="7"/>
  <c r="AF37" i="23"/>
  <c r="AL42" i="23"/>
  <c r="AH67" i="7"/>
  <c r="AH66" i="7"/>
  <c r="AF57" i="7"/>
  <c r="AJ16" i="7"/>
  <c r="AF48" i="23"/>
  <c r="AL18" i="23"/>
  <c r="AF49" i="7"/>
  <c r="AD15" i="7"/>
  <c r="AJ37" i="23"/>
  <c r="AN68" i="23"/>
  <c r="AJ49" i="23"/>
  <c r="AL20" i="23"/>
  <c r="AL35" i="7"/>
  <c r="AH18" i="7"/>
  <c r="AF67" i="7"/>
  <c r="AH29" i="7"/>
  <c r="AL13" i="7"/>
  <c r="AD60" i="7"/>
  <c r="AL40" i="23"/>
  <c r="AH64" i="23"/>
  <c r="AF68" i="7"/>
  <c r="AF62" i="23"/>
  <c r="AF38" i="7"/>
  <c r="AJ61" i="7"/>
  <c r="AJ40" i="23"/>
  <c r="AH39" i="23"/>
  <c r="AH46" i="23"/>
  <c r="AL40" i="7"/>
  <c r="AF42" i="23"/>
  <c r="AJ51" i="23"/>
  <c r="AL12" i="23"/>
  <c r="AJ65" i="7"/>
  <c r="AF67" i="23"/>
  <c r="AJ33" i="7"/>
  <c r="AF16" i="7"/>
  <c r="AL11" i="23"/>
  <c r="AJ39" i="23"/>
  <c r="AD45" i="23"/>
  <c r="AH52" i="7"/>
  <c r="AJ67" i="7"/>
  <c r="AH53" i="23"/>
  <c r="AD14" i="7"/>
  <c r="AL41" i="23"/>
  <c r="AF46" i="7"/>
  <c r="AF54" i="7"/>
  <c r="AL20" i="7"/>
  <c r="AJ13" i="7"/>
  <c r="AH61" i="7"/>
  <c r="AH45" i="23"/>
  <c r="AH50" i="7"/>
  <c r="AF55" i="23"/>
  <c r="AJ53" i="23"/>
  <c r="AF49" i="23"/>
  <c r="AL17" i="23"/>
  <c r="AD53" i="23"/>
  <c r="AD60" i="23"/>
  <c r="AN54" i="23"/>
  <c r="AD41" i="23"/>
  <c r="AJ58" i="23"/>
  <c r="AH67" i="23"/>
  <c r="AH19" i="7"/>
  <c r="AH16" i="7"/>
  <c r="AH47" i="7"/>
  <c r="AH58" i="23"/>
  <c r="AL12" i="7"/>
  <c r="AL44" i="7"/>
  <c r="AF57" i="23"/>
  <c r="AH9" i="7"/>
  <c r="AN60" i="23"/>
  <c r="AL48" i="23"/>
  <c r="AJ56" i="23"/>
  <c r="AL50" i="7"/>
  <c r="AL46" i="23"/>
  <c r="AL54" i="7"/>
  <c r="AF18" i="7"/>
  <c r="AH65" i="23"/>
  <c r="AL9" i="23"/>
  <c r="AL38" i="23"/>
  <c r="AL21" i="7"/>
  <c r="AH46" i="7"/>
  <c r="AD57" i="7"/>
  <c r="AD58" i="7"/>
  <c r="AF45" i="7"/>
  <c r="AD16" i="7"/>
  <c r="AF52" i="7"/>
  <c r="AN58" i="23"/>
  <c r="AN59" i="23"/>
  <c r="AD65" i="7"/>
  <c r="AD68" i="7"/>
  <c r="AN52" i="23"/>
  <c r="AD42" i="7"/>
  <c r="AN44" i="23"/>
  <c r="AF12" i="7"/>
  <c r="AD46" i="7"/>
  <c r="AN43" i="23"/>
  <c r="AN48" i="23"/>
  <c r="AL19" i="23"/>
  <c r="AL49" i="7"/>
  <c r="AN38" i="23"/>
  <c r="AF40" i="23"/>
  <c r="AL16" i="7"/>
  <c r="AD46" i="23"/>
  <c r="AH51" i="23"/>
  <c r="AL45" i="7"/>
  <c r="AD63" i="7"/>
  <c r="AL37" i="7"/>
  <c r="AL47" i="23"/>
  <c r="AJ64" i="23"/>
  <c r="AL61" i="7"/>
  <c r="AF47" i="7"/>
  <c r="AJ14" i="7"/>
  <c r="AL14" i="7"/>
  <c r="AJ67" i="23"/>
  <c r="AH14" i="7"/>
  <c r="AN62" i="23"/>
  <c r="AD49" i="23"/>
  <c r="AJ64" i="7"/>
  <c r="AD55" i="7"/>
  <c r="AF66" i="7"/>
  <c r="AN53" i="23"/>
  <c r="AL41" i="7"/>
  <c r="AF46" i="23"/>
  <c r="AJ26" i="7"/>
  <c r="AL36" i="7"/>
  <c r="AL19" i="7"/>
  <c r="AJ45" i="23"/>
  <c r="AH60" i="7"/>
  <c r="AL52" i="23"/>
  <c r="AF58" i="7"/>
  <c r="AD33" i="7"/>
  <c r="AJ11" i="7"/>
  <c r="AH48" i="23"/>
  <c r="AJ62" i="7"/>
  <c r="AD45" i="7"/>
  <c r="AL10" i="23"/>
  <c r="AF43" i="7"/>
  <c r="AJ48" i="23"/>
  <c r="AL46" i="7"/>
  <c r="AF56" i="23"/>
  <c r="AH56" i="23"/>
  <c r="AL39" i="23"/>
  <c r="AH15" i="7"/>
  <c r="AJ12" i="7"/>
  <c r="AJ17" i="7"/>
  <c r="AJ63" i="7"/>
  <c r="AJ48" i="7"/>
  <c r="AH51" i="7"/>
  <c r="AD50" i="7"/>
  <c r="AF65" i="23"/>
  <c r="AH13" i="7"/>
  <c r="AL16" i="23"/>
  <c r="AH57" i="7"/>
  <c r="AD53" i="7"/>
  <c r="AL50" i="23"/>
  <c r="AJ63" i="23"/>
  <c r="AN45" i="23"/>
  <c r="AD39" i="7"/>
  <c r="AL59" i="23"/>
  <c r="AJ10" i="7"/>
  <c r="AF62" i="7"/>
  <c r="AD66" i="23"/>
  <c r="AF50" i="7"/>
  <c r="AF64" i="23"/>
  <c r="AJ18" i="7"/>
  <c r="AH66" i="23"/>
  <c r="AL44" i="23"/>
  <c r="AD40" i="23"/>
  <c r="AH63" i="23"/>
  <c r="AJ9" i="7"/>
  <c r="AL11" i="7"/>
  <c r="AF13" i="7"/>
  <c r="AN50" i="23"/>
  <c r="AJ59" i="7"/>
  <c r="AH39" i="7"/>
  <c r="AH42" i="7"/>
  <c r="AL34" i="7"/>
  <c r="AH45" i="7"/>
  <c r="AJ40" i="7"/>
  <c r="AH42" i="23"/>
  <c r="AF37" i="7"/>
  <c r="AJ44" i="7"/>
  <c r="AF55" i="7"/>
  <c r="AJ66" i="7"/>
  <c r="AL17" i="7"/>
  <c r="AF44" i="23"/>
  <c r="AL65" i="23"/>
  <c r="AL13" i="23"/>
  <c r="AN41" i="23"/>
  <c r="AL49" i="23"/>
  <c r="AH55" i="23"/>
  <c r="AN39" i="23"/>
  <c r="AL55" i="7"/>
  <c r="AL68" i="7"/>
  <c r="AN40" i="23"/>
  <c r="AJ49" i="7"/>
  <c r="AJ54" i="23"/>
  <c r="AD18" i="7"/>
  <c r="AL61" i="23"/>
  <c r="AD47" i="23"/>
  <c r="AJ59" i="23"/>
  <c r="AJ37" i="7"/>
  <c r="AH37" i="7"/>
  <c r="AF53" i="23"/>
  <c r="AD64" i="7"/>
  <c r="AL43" i="7"/>
  <c r="AF20" i="7"/>
  <c r="AJ50" i="23"/>
  <c r="AH33" i="23"/>
  <c r="AH62" i="23"/>
  <c r="AL59" i="7"/>
  <c r="AL23" i="23"/>
  <c r="AJ52" i="23"/>
  <c r="AJ38" i="23"/>
  <c r="AD51" i="7"/>
  <c r="AD59" i="23"/>
  <c r="AL14" i="23"/>
  <c r="AJ66" i="23"/>
  <c r="AJ33" i="23"/>
  <c r="AF24" i="7"/>
  <c r="AL57" i="23"/>
  <c r="AJ42" i="7"/>
  <c r="AH43" i="7"/>
  <c r="AN65" i="23"/>
  <c r="AD47" i="7"/>
  <c r="AD59" i="7"/>
  <c r="AH41" i="23"/>
  <c r="AL67" i="23"/>
  <c r="AH59" i="23"/>
  <c r="AL64" i="7"/>
  <c r="AJ43" i="7"/>
  <c r="AD52" i="23"/>
  <c r="AJ68" i="23"/>
  <c r="AJ25" i="7"/>
  <c r="AD63" i="23"/>
  <c r="AF45" i="23"/>
  <c r="AL58" i="23"/>
  <c r="AF9" i="7"/>
  <c r="AN33" i="23"/>
  <c r="AL53" i="23"/>
  <c r="AF61" i="7"/>
  <c r="AJ58" i="7"/>
  <c r="AH68" i="7"/>
  <c r="AL18" i="7"/>
  <c r="AJ24" i="7"/>
  <c r="AN56" i="23"/>
  <c r="AF33" i="23"/>
  <c r="AF44" i="7"/>
  <c r="AF25" i="7"/>
  <c r="AD12" i="7"/>
  <c r="AL47" i="7"/>
  <c r="AF29" i="7"/>
  <c r="AN55" i="23"/>
  <c r="AL64" i="23"/>
  <c r="AH25" i="7"/>
  <c r="AJ41" i="7"/>
  <c r="AF50" i="23"/>
  <c r="AF59" i="23"/>
  <c r="AD43" i="23"/>
  <c r="AH55" i="7"/>
  <c r="AH38" i="23"/>
  <c r="AJ55" i="7"/>
  <c r="AF38" i="23"/>
  <c r="AF14" i="7"/>
  <c r="AJ39" i="7"/>
  <c r="AF54" i="23"/>
  <c r="AD17" i="7"/>
  <c r="AD61" i="23"/>
  <c r="AL62" i="7"/>
  <c r="AD67" i="23"/>
  <c r="AH40" i="23"/>
  <c r="AJ31" i="7"/>
  <c r="AL9" i="7"/>
  <c r="AF26" i="7"/>
  <c r="AH33" i="7"/>
  <c r="AH60" i="23"/>
  <c r="AH27" i="7"/>
  <c r="AN42" i="23"/>
  <c r="AL62" i="23"/>
  <c r="AD9" i="7"/>
  <c r="AJ15" i="7"/>
  <c r="AL60" i="7"/>
  <c r="AF60" i="7"/>
  <c r="AL66" i="23"/>
  <c r="AH32" i="7"/>
  <c r="AJ62" i="23"/>
  <c r="AF52" i="23"/>
  <c r="AJ43" i="23"/>
  <c r="AL51" i="7"/>
  <c r="AN51" i="23"/>
  <c r="AD11" i="7"/>
  <c r="AL55" i="23"/>
  <c r="AH20" i="7"/>
  <c r="AH47" i="23"/>
  <c r="AN47" i="23"/>
  <c r="AH48" i="7"/>
  <c r="AH37" i="23"/>
  <c r="AN46" i="23"/>
  <c r="AH12" i="7"/>
  <c r="AD10" i="7"/>
  <c r="AH53" i="7"/>
  <c r="AD49" i="7"/>
  <c r="AD33" i="23"/>
  <c r="AJ53" i="7"/>
  <c r="AL58" i="7"/>
  <c r="AF33" i="7"/>
  <c r="AH54" i="7"/>
  <c r="AF68" i="23"/>
  <c r="AH24" i="7"/>
  <c r="AH68" i="23"/>
  <c r="AN67" i="23"/>
  <c r="AD50" i="23"/>
  <c r="AL63" i="23"/>
  <c r="AL66" i="7"/>
  <c r="AL22" i="23"/>
  <c r="AJ28" i="7"/>
  <c r="AL21" i="23"/>
  <c r="AL23" i="7"/>
  <c r="AH64" i="7"/>
  <c r="AD40" i="7"/>
  <c r="AH58" i="7"/>
  <c r="AL45" i="23"/>
  <c r="AD54" i="23"/>
  <c r="AD56" i="7"/>
  <c r="AD41" i="7"/>
  <c r="AJ19" i="7"/>
  <c r="AJ30" i="7"/>
  <c r="AF60" i="23"/>
  <c r="AH49" i="7"/>
  <c r="AJ46" i="23"/>
  <c r="AL52" i="7"/>
  <c r="AD39" i="23"/>
  <c r="AJ41" i="23"/>
  <c r="AJ47" i="7"/>
  <c r="AJ38" i="7"/>
  <c r="AD66" i="7"/>
  <c r="AH63" i="7"/>
  <c r="AH62" i="7"/>
  <c r="AJ56" i="7"/>
  <c r="AD13" i="7"/>
  <c r="AD44" i="23"/>
  <c r="AL37" i="23"/>
  <c r="AD56" i="23"/>
  <c r="AJ51" i="7"/>
  <c r="AJ44" i="23"/>
  <c r="AD19" i="7"/>
  <c r="AF11" i="7"/>
  <c r="AL54" i="23"/>
  <c r="AH50" i="23"/>
  <c r="AF17" i="7"/>
  <c r="AD44" i="7"/>
  <c r="AL68" i="23"/>
  <c r="AH59" i="7"/>
  <c r="AD54" i="7"/>
  <c r="AH43" i="23"/>
  <c r="AL38" i="7"/>
  <c r="AL57" i="7"/>
  <c r="AH11" i="7"/>
  <c r="AJ32" i="7"/>
  <c r="AJ60" i="7"/>
  <c r="AD38" i="7"/>
  <c r="AH44" i="23"/>
  <c r="AF59" i="7"/>
  <c r="AJ68" i="7"/>
  <c r="AL15" i="23"/>
  <c r="AL22" i="7"/>
  <c r="AH44" i="7"/>
  <c r="AH28" i="7"/>
  <c r="AL56" i="23"/>
  <c r="AH10" i="7"/>
  <c r="AF42" i="7"/>
  <c r="AF51" i="23"/>
  <c r="AF30" i="7"/>
  <c r="AD37" i="23"/>
  <c r="AD24" i="7"/>
  <c r="AF39" i="7"/>
  <c r="AD51" i="23"/>
  <c r="AF65" i="7"/>
  <c r="AJ29" i="7"/>
  <c r="AJ57" i="7"/>
  <c r="AL63" i="7"/>
  <c r="AL48" i="7"/>
  <c r="AD68" i="23"/>
  <c r="AF40" i="7"/>
  <c r="AJ50" i="7"/>
  <c r="AD65" i="23"/>
  <c r="AD38" i="23"/>
  <c r="AH61" i="23"/>
  <c r="AD58" i="23"/>
</calcChain>
</file>

<file path=xl/comments1.xml><?xml version="1.0" encoding="utf-8"?>
<comments xmlns="http://schemas.openxmlformats.org/spreadsheetml/2006/main">
  <authors>
    <author>ZANZI MADDALENA</author>
  </authors>
  <commentList>
    <comment ref="C2" authorId="0">
      <text>
        <r>
          <rPr>
            <b/>
            <sz val="9"/>
            <color indexed="81"/>
            <rFont val="Tahoma"/>
            <family val="2"/>
          </rPr>
          <t>insert password here to activate contribution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ZANZI MADDALENA</author>
  </authors>
  <commentList>
    <comment ref="C2" authorId="0">
      <text>
        <r>
          <rPr>
            <b/>
            <sz val="9"/>
            <color indexed="81"/>
            <rFont val="Tahoma"/>
            <family val="2"/>
          </rPr>
          <t>insert password here to activate contribution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<sst xmlns="http://schemas.openxmlformats.org/spreadsheetml/2006/main" count="1550" uniqueCount="294">
  <si>
    <t>BID</t>
  </si>
  <si>
    <t>ASK</t>
  </si>
  <si>
    <t>DTSIMI1</t>
  </si>
  <si>
    <t>General Settings</t>
  </si>
  <si>
    <t>Triggers</t>
  </si>
  <si>
    <t>Trigger</t>
  </si>
  <si>
    <t>Currency</t>
  </si>
  <si>
    <t>Calendar</t>
  </si>
  <si>
    <t>Contribute</t>
  </si>
  <si>
    <t>SettlementDays</t>
  </si>
  <si>
    <t>SettlementDate</t>
  </si>
  <si>
    <t>IborIndexFamily</t>
  </si>
  <si>
    <t>EvaluationDate</t>
  </si>
  <si>
    <t>6M</t>
  </si>
  <si>
    <t>ON</t>
  </si>
  <si>
    <t>2W</t>
  </si>
  <si>
    <t>1M</t>
  </si>
  <si>
    <t>2M</t>
  </si>
  <si>
    <t>3M</t>
  </si>
  <si>
    <t>4M</t>
  </si>
  <si>
    <t>5M</t>
  </si>
  <si>
    <t>9M</t>
  </si>
  <si>
    <t>1Y</t>
  </si>
  <si>
    <t>2Y</t>
  </si>
  <si>
    <t>3Y</t>
  </si>
  <si>
    <t>4Y</t>
  </si>
  <si>
    <t>5Y</t>
  </si>
  <si>
    <t>7Y</t>
  </si>
  <si>
    <t>10Y</t>
  </si>
  <si>
    <t>12Y</t>
  </si>
  <si>
    <t>15Y</t>
  </si>
  <si>
    <t>IborIndex</t>
  </si>
  <si>
    <t>FixedLegTenor</t>
  </si>
  <si>
    <t>FixedLegDayCounter</t>
  </si>
  <si>
    <t>Pricing</t>
  </si>
  <si>
    <t>MaturityDate</t>
  </si>
  <si>
    <t>SwapIndex</t>
  </si>
  <si>
    <t>InstrumentType</t>
  </si>
  <si>
    <t>OIS</t>
  </si>
  <si>
    <t>Modified Following</t>
  </si>
  <si>
    <t>InterpolationType</t>
  </si>
  <si>
    <t>MonotonicCubicNaturalSpline</t>
  </si>
  <si>
    <t>FixingDate</t>
  </si>
  <si>
    <t>RIC</t>
  </si>
  <si>
    <t>InterestRatesTrigger</t>
  </si>
  <si>
    <t>OvernightIndex</t>
  </si>
  <si>
    <t xml:space="preserve"> </t>
  </si>
  <si>
    <t>BID Error</t>
  </si>
  <si>
    <t>ASK error</t>
  </si>
  <si>
    <t>ValueDate</t>
  </si>
  <si>
    <t>Internal RIC</t>
  </si>
  <si>
    <t>Mkt RIC</t>
  </si>
  <si>
    <t>CurveTenor</t>
  </si>
  <si>
    <t>YieldCurve</t>
  </si>
  <si>
    <t>FixedLegBDC</t>
  </si>
  <si>
    <t>HolidayCheck</t>
  </si>
  <si>
    <t>LocalCalendar</t>
  </si>
  <si>
    <t>LiborCalendar</t>
  </si>
  <si>
    <t>PILLAR</t>
  </si>
  <si>
    <t>DiscountingCurve</t>
  </si>
  <si>
    <t>BDayConvention</t>
  </si>
  <si>
    <t>DayCounter</t>
  </si>
  <si>
    <t>Contribution</t>
  </si>
  <si>
    <t>EndOfMonth</t>
  </si>
  <si>
    <t>DepoIndex</t>
  </si>
  <si>
    <t>7M</t>
  </si>
  <si>
    <t>8M</t>
  </si>
  <si>
    <t>10M</t>
  </si>
  <si>
    <t>11M</t>
  </si>
  <si>
    <t>1W</t>
  </si>
  <si>
    <t>12M</t>
  </si>
  <si>
    <t>3W</t>
  </si>
  <si>
    <t>6Y</t>
  </si>
  <si>
    <t>8Y</t>
  </si>
  <si>
    <t>9Y</t>
  </si>
  <si>
    <t>11Y</t>
  </si>
  <si>
    <t>13Y</t>
  </si>
  <si>
    <t>14Y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</si>
  <si>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</si>
  <si>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</si>
  <si>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</si>
  <si>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</si>
  <si>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</si>
  <si>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</si>
  <si>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</si>
  <si>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</si>
  <si>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</si>
  <si>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</si>
  <si>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</si>
  <si>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</si>
  <si>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</si>
  <si>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</si>
  <si>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</si>
  <si>
    <t>40Y</t>
  </si>
  <si>
    <t>50Y</t>
  </si>
  <si>
    <t>60Y</t>
  </si>
  <si>
    <t>TN</t>
  </si>
  <si>
    <t>SN</t>
  </si>
  <si>
    <t>SW</t>
  </si>
  <si>
    <t>Actual/360</t>
  </si>
  <si>
    <t>Following</t>
  </si>
  <si>
    <t>DP</t>
  </si>
  <si>
    <t>Fwd start</t>
  </si>
  <si>
    <t>Day Count Convention</t>
  </si>
  <si>
    <t>0D</t>
  </si>
  <si>
    <t>FUT</t>
  </si>
  <si>
    <t>DEPOSIT</t>
  </si>
  <si>
    <t>SWAP</t>
  </si>
  <si>
    <t>USD</t>
  </si>
  <si>
    <t>UnitedKingdom::Exchange</t>
  </si>
  <si>
    <t>UnitedStates::Settlement</t>
  </si>
  <si>
    <t>1Y3M</t>
  </si>
  <si>
    <t>1Y6M</t>
  </si>
  <si>
    <t>1Y9M</t>
  </si>
  <si>
    <t>USDFedFunds</t>
  </si>
  <si>
    <t>FuturesRollDays</t>
  </si>
  <si>
    <t>STUB</t>
  </si>
  <si>
    <t>DDS</t>
  </si>
  <si>
    <t>15M</t>
  </si>
  <si>
    <t>18M</t>
  </si>
  <si>
    <t>21M</t>
  </si>
  <si>
    <t>FUTURE</t>
  </si>
  <si>
    <t>FutureIndex</t>
  </si>
  <si>
    <t>FuturesIndex</t>
  </si>
  <si>
    <t>USDAM3L1Y=ICAP</t>
  </si>
  <si>
    <t>USDAM3L2Y=ICAP</t>
  </si>
  <si>
    <t>USDAM3L3Y=ICAP</t>
  </si>
  <si>
    <t>USDAM3L4Y=ICAP</t>
  </si>
  <si>
    <t>USDAM3L5Y=ICAP</t>
  </si>
  <si>
    <t>USDAM3L6Y=ICAP</t>
  </si>
  <si>
    <t>USDAM3L7Y=ICAP</t>
  </si>
  <si>
    <t>USDAM3L8Y=ICAP</t>
  </si>
  <si>
    <t>USDAM3L9Y=ICAP</t>
  </si>
  <si>
    <t>USDAM3L10Y=ICAP</t>
  </si>
  <si>
    <t>USDAM3L11Y=ICAP</t>
  </si>
  <si>
    <t>USDAM3L12Y=ICAP</t>
  </si>
  <si>
    <t>USDAM3L13Y=ICAP</t>
  </si>
  <si>
    <t>USDAM3L14Y=ICAP</t>
  </si>
  <si>
    <t>USDAM3L15Y=ICAP</t>
  </si>
  <si>
    <t>USDAM3L16Y=ICAP</t>
  </si>
  <si>
    <t>USDAM3L17Y=ICAP</t>
  </si>
  <si>
    <t>USDAM3L18Y=ICAP</t>
  </si>
  <si>
    <t>USDAM3L19Y=ICAP</t>
  </si>
  <si>
    <t>USDAM3L20Y=ICAP</t>
  </si>
  <si>
    <t>USDAM3L21Y=ICAP</t>
  </si>
  <si>
    <t>USDAM3L22Y=ICAP</t>
  </si>
  <si>
    <t>USDAM3L23Y=ICAP</t>
  </si>
  <si>
    <t>USDAM3L24Y=ICAP</t>
  </si>
  <si>
    <t>USDAM3L25Y=ICAP</t>
  </si>
  <si>
    <t>USDAM3L26Y=ICAP</t>
  </si>
  <si>
    <t>USDAM3L27Y=ICAP</t>
  </si>
  <si>
    <t>USDAM3L28Y=ICAP</t>
  </si>
  <si>
    <t>USDAM3L29Y=ICAP</t>
  </si>
  <si>
    <t>USDAM3L30Y=ICAP</t>
  </si>
  <si>
    <t>USDAM3L40Y=ICAP</t>
  </si>
  <si>
    <t>USDAM3L50Y=ICAP</t>
  </si>
  <si>
    <t>USDAM3L60Y=ICAP</t>
  </si>
  <si>
    <t>USD3L1L1Y=ICAP</t>
  </si>
  <si>
    <t>USD3L1L2Y=ICAP</t>
  </si>
  <si>
    <t>USD3L1L3Y=ICAP</t>
  </si>
  <si>
    <t>USD3L1L4Y=ICAP</t>
  </si>
  <si>
    <t>USD3L1L5Y=ICAP</t>
  </si>
  <si>
    <t>USD3L1L6Y=ICAP</t>
  </si>
  <si>
    <t>USD3L1L7Y=ICAP</t>
  </si>
  <si>
    <t>USD3L1L8Y=ICAP</t>
  </si>
  <si>
    <t>USD3L1L9Y=ICAP</t>
  </si>
  <si>
    <t>USD3L1L10Y=ICAP</t>
  </si>
  <si>
    <t>USD3L1L11Y=ICAP</t>
  </si>
  <si>
    <t>USD3L1L12Y=ICAP</t>
  </si>
  <si>
    <t>USD3L1L13Y=ICAP</t>
  </si>
  <si>
    <t>USD3L1L14Y=ICAP</t>
  </si>
  <si>
    <t>USD3L1L15Y=ICAP</t>
  </si>
  <si>
    <t>USD3L1L16Y=ICAP</t>
  </si>
  <si>
    <t>USD3L1L17Y=ICAP</t>
  </si>
  <si>
    <t>USD3L1L18Y=ICAP</t>
  </si>
  <si>
    <t>USD3L1L19Y=ICAP</t>
  </si>
  <si>
    <t>USD3L1L20Y=ICAP</t>
  </si>
  <si>
    <t>USD3L1L21Y=ICAP</t>
  </si>
  <si>
    <t>USD3L1L22Y=ICAP</t>
  </si>
  <si>
    <t>USD3L1L23Y=ICAP</t>
  </si>
  <si>
    <t>USD3L1L24Y=ICAP</t>
  </si>
  <si>
    <t>USD3L1L25Y=ICAP</t>
  </si>
  <si>
    <t>USD3L1L26Y=ICAP</t>
  </si>
  <si>
    <t>USD3L1L27Y=ICAP</t>
  </si>
  <si>
    <t>USD3L1L28Y=ICAP</t>
  </si>
  <si>
    <t>USD3L1L29Y=ICAP</t>
  </si>
  <si>
    <t>USD3L1L30Y=ICAP</t>
  </si>
  <si>
    <t>USD3L1L40Y=ICAP</t>
  </si>
  <si>
    <t>USD3L1L50Y=ICAP</t>
  </si>
  <si>
    <t>USD3L1L60Y=ICAP</t>
  </si>
  <si>
    <t>USD6L3L1Y=ICAP</t>
  </si>
  <si>
    <t>USD6L3L2Y=ICAP</t>
  </si>
  <si>
    <t>USD6L3L3Y=ICAP</t>
  </si>
  <si>
    <t>USD6L3L4Y=ICAP</t>
  </si>
  <si>
    <t>USD6L3L5Y=ICAP</t>
  </si>
  <si>
    <t>USD6L3L6Y=ICAP</t>
  </si>
  <si>
    <t>USD6L3L7Y=ICAP</t>
  </si>
  <si>
    <t>USD6L3L8Y=ICAP</t>
  </si>
  <si>
    <t>USD6L3L9Y=ICAP</t>
  </si>
  <si>
    <t>USD6L3L10Y=ICAP</t>
  </si>
  <si>
    <t>USD6L3L11Y=ICAP</t>
  </si>
  <si>
    <t>USD6L3L12Y=ICAP</t>
  </si>
  <si>
    <t>USD6L3L13Y=ICAP</t>
  </si>
  <si>
    <t>USD6L3L14Y=ICAP</t>
  </si>
  <si>
    <t>USD6L3L15Y=ICAP</t>
  </si>
  <si>
    <t>USD6L3L16Y=ICAP</t>
  </si>
  <si>
    <t>USD6L3L17Y=ICAP</t>
  </si>
  <si>
    <t>USD6L3L18Y=ICAP</t>
  </si>
  <si>
    <t>USD6L3L19Y=ICAP</t>
  </si>
  <si>
    <t>USD6L3L20Y=ICAP</t>
  </si>
  <si>
    <t>USD6L3L21Y=ICAP</t>
  </si>
  <si>
    <t>USD6L3L22Y=ICAP</t>
  </si>
  <si>
    <t>USD6L3L23Y=ICAP</t>
  </si>
  <si>
    <t>USD6L3L24Y=ICAP</t>
  </si>
  <si>
    <t>USD6L3L25Y=ICAP</t>
  </si>
  <si>
    <t>USD6L3L26Y=ICAP</t>
  </si>
  <si>
    <t>USD6L3L27Y=ICAP</t>
  </si>
  <si>
    <t>USD6L3L28Y=ICAP</t>
  </si>
  <si>
    <t>USD6L3L29Y=ICAP</t>
  </si>
  <si>
    <t>USD6L3L30Y=ICAP</t>
  </si>
  <si>
    <t>USD6L3L40Y=ICAP</t>
  </si>
  <si>
    <t>USD6L3L50Y=ICAP</t>
  </si>
  <si>
    <t>USD6L3L60Y=ICAP</t>
  </si>
  <si>
    <t>USD3L12L1Y=SMKR</t>
  </si>
  <si>
    <t>USD3L12L2Y=SMKR</t>
  </si>
  <si>
    <t>USD3L12L3Y=SMKR</t>
  </si>
  <si>
    <t>USD3L12L4Y=SMKR</t>
  </si>
  <si>
    <t>USD3L12L5Y=SMKR</t>
  </si>
  <si>
    <t>USD3L12L6Y=SMKR</t>
  </si>
  <si>
    <t>USD3L12L7Y=SMKR</t>
  </si>
  <si>
    <t>USD3L12L8Y=SMKR</t>
  </si>
  <si>
    <t>USD3L12L9Y=SMKR</t>
  </si>
  <si>
    <t>USD3L12L10Y=SMKR</t>
  </si>
  <si>
    <t>USD3L12L11Y=SMKR</t>
  </si>
  <si>
    <t>USD3L12L12Y=SMKR</t>
  </si>
  <si>
    <t>USD3L12L13Y=SMKR</t>
  </si>
  <si>
    <t>USD3L12L14Y=SMKR</t>
  </si>
  <si>
    <t>USD3L12L15Y=SMKR</t>
  </si>
  <si>
    <t>USD3L12L16Y=SMKR</t>
  </si>
  <si>
    <t>USD3L12L17Y=SMKR</t>
  </si>
  <si>
    <t>USD3L12L18Y=SMKR</t>
  </si>
  <si>
    <t>USD3L12L19Y=SMKR</t>
  </si>
  <si>
    <t>USD3L12L20Y=SMKR</t>
  </si>
  <si>
    <t>USD3L12L21Y=SMKR</t>
  </si>
  <si>
    <t>USD3L12L22Y=SMKR</t>
  </si>
  <si>
    <t>USD3L12L23Y=SMKR</t>
  </si>
  <si>
    <t>USD3L12L24Y=SMKR</t>
  </si>
  <si>
    <t>USD3L12L25Y=SMKR</t>
  </si>
  <si>
    <t>USD3L12L26Y=SMKR</t>
  </si>
  <si>
    <t>USD3L12L27Y=SMKR</t>
  </si>
  <si>
    <t>USD3L12L28Y=SMKR</t>
  </si>
  <si>
    <t>USD3L12L29Y=SMKR</t>
  </si>
  <si>
    <t>USD3L12L30Y=SMKR</t>
  </si>
  <si>
    <t>USD3L12L40Y=SMKR</t>
  </si>
  <si>
    <t>USD3L12L50Y=SMKR</t>
  </si>
  <si>
    <t>USD3L12L60Y=SMKR</t>
  </si>
  <si>
    <t>USDSWOIS=TTKL</t>
  </si>
  <si>
    <t>USD2WOIS=TTKL</t>
  </si>
  <si>
    <t>USD3WOIS=TTKL</t>
  </si>
  <si>
    <t>USD1MOIS=TTKL</t>
  </si>
  <si>
    <t>USD2MOIS=TTKL</t>
  </si>
  <si>
    <t>USD3MOIS=TTKL</t>
  </si>
  <si>
    <t>USD4MOIS=TTKL</t>
  </si>
  <si>
    <t>USD5MOIS=TTKL</t>
  </si>
  <si>
    <t>USD6MOIS=TTKL</t>
  </si>
  <si>
    <t>USD7MOIS=TTKL</t>
  </si>
  <si>
    <t>USD8MOIS=TTKL</t>
  </si>
  <si>
    <t>USD9MOIS=TTKL</t>
  </si>
  <si>
    <t>USD10MOIS=TTKL</t>
  </si>
  <si>
    <t>USD11MOIS=TTKL</t>
  </si>
  <si>
    <t>USD1YOIS=TTKL</t>
  </si>
  <si>
    <t>USD15MOIS=TTKL</t>
  </si>
  <si>
    <t>USD18MOIS=TTKL</t>
  </si>
  <si>
    <t>USD21MOIS=TTKL</t>
  </si>
  <si>
    <t>USD2YOIS=TTKL</t>
  </si>
  <si>
    <t>USD3YOIS=TTKL</t>
  </si>
  <si>
    <t>USD4YOIS=TTKL</t>
  </si>
  <si>
    <t>USD5YOIS=TTKL</t>
  </si>
  <si>
    <t>USD6YOIS=TTKL</t>
  </si>
  <si>
    <t>USD7YOIS=TTKL</t>
  </si>
  <si>
    <t>USD8YOIS=TTKL</t>
  </si>
  <si>
    <t>USD9YOIS=TTKL</t>
  </si>
  <si>
    <t>USD10YOIS=TTKL</t>
  </si>
  <si>
    <t>USD12YOIS=TTKL</t>
  </si>
  <si>
    <t>USD15YOIS=TTKL</t>
  </si>
  <si>
    <t>USD20YOIS=TTKL</t>
  </si>
  <si>
    <t>USD25YOIS=TTKL</t>
  </si>
  <si>
    <t>USD27YOIS=TTKL</t>
  </si>
  <si>
    <t>USD30YOIS=TTKL</t>
  </si>
  <si>
    <t>USD40YOIS=TTKL</t>
  </si>
  <si>
    <t>USD50YOIS=TTKL</t>
  </si>
  <si>
    <t>STD</t>
  </si>
  <si>
    <t>SwapForwardStart</t>
  </si>
  <si>
    <t>SwapEffectiveDate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</si>
</sst>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_-* #,##0.00_-;\-* #,##0.00_-;_-* &quot;-&quot;??_-;_-@_-"/>
    <numFmt numFmtId="165" formatCode="&quot;£&quot;#,##0;[Red]\-&quot;£&quot;#,##0"/>
    <numFmt numFmtId="166" formatCode="ddd\,\ d\-mmm\-yyyy"/>
    <numFmt numFmtId="167" formatCode="ddd\,\ dd\-mmm\-yyyy"/>
    <numFmt numFmtId="168" formatCode="General_)"/>
    <numFmt numFmtId="169" formatCode="#,##0.0;#,##0.0"/>
    <numFmt numFmtId="170" formatCode="0.0000%"/>
    <numFmt numFmtId="171" formatCode="0.0000"/>
    <numFmt numFmtId="172" formatCode="_([$€-2]* #,##0.00_);_([$€-2]* \(#,##0.00\);_([$€-2]* &quot;-&quot;??_)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ourier New"/>
      <family val="3"/>
    </font>
    <font>
      <sz val="8"/>
      <name val="Courier New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11"/>
      <color theme="1"/>
      <name val="Calibri"/>
      <family val="2"/>
      <scheme val="minor"/>
    </font>
    <font>
      <sz val="8"/>
      <color theme="1"/>
      <name val="Courier New"/>
      <family val="3"/>
    </font>
    <font>
      <b/>
      <sz val="8"/>
      <color theme="1"/>
      <name val="Courier New"/>
      <family val="3"/>
    </font>
    <font>
      <sz val="8"/>
      <color rgb="FFFF0000"/>
      <name val="Courier New"/>
      <family val="3"/>
    </font>
    <font>
      <sz val="11"/>
      <color rgb="FF9C0006"/>
      <name val="Calibri"/>
      <family val="2"/>
      <scheme val="minor"/>
    </font>
    <font>
      <sz val="10"/>
      <color theme="1"/>
      <name val="Courier New"/>
      <family val="3"/>
    </font>
    <font>
      <b/>
      <sz val="14"/>
      <name val="Courier New"/>
      <family val="3"/>
    </font>
    <font>
      <b/>
      <sz val="12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theme="0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6">
    <xf numFmtId="0" fontId="0" fillId="0" borderId="0"/>
    <xf numFmtId="0" fontId="1" fillId="0" borderId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0" fontId="1" fillId="0" borderId="0"/>
    <xf numFmtId="0" fontId="1" fillId="0" borderId="0"/>
    <xf numFmtId="168" fontId="7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9" fontId="8" fillId="4" borderId="0">
      <alignment horizontal="center" vertical="center"/>
    </xf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13" fillId="7" borderId="0" applyNumberFormat="0" applyBorder="0" applyAlignment="0" applyProtection="0"/>
    <xf numFmtId="172" fontId="1" fillId="0" borderId="0" applyFont="0" applyFill="0" applyBorder="0" applyAlignment="0" applyProtection="0"/>
  </cellStyleXfs>
  <cellXfs count="197">
    <xf numFmtId="0" fontId="0" fillId="0" borderId="0" xfId="0"/>
    <xf numFmtId="0" fontId="10" fillId="0" borderId="0" xfId="0" applyFont="1"/>
    <xf numFmtId="0" fontId="10" fillId="5" borderId="0" xfId="0" applyFont="1" applyFill="1"/>
    <xf numFmtId="0" fontId="10" fillId="5" borderId="0" xfId="0" applyFont="1" applyFill="1" applyAlignment="1">
      <alignment horizontal="center"/>
    </xf>
    <xf numFmtId="0" fontId="10" fillId="5" borderId="0" xfId="0" applyFont="1" applyFill="1" applyAlignment="1">
      <alignment horizontal="center" vertical="center"/>
    </xf>
    <xf numFmtId="0" fontId="10" fillId="5" borderId="0" xfId="0" applyFont="1" applyFill="1" applyAlignment="1">
      <alignment horizontal="right" vertical="center"/>
    </xf>
    <xf numFmtId="0" fontId="10" fillId="0" borderId="0" xfId="0" applyFont="1" applyFill="1"/>
    <xf numFmtId="0" fontId="11" fillId="2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/>
    </xf>
    <xf numFmtId="0" fontId="3" fillId="3" borderId="1" xfId="0" applyFont="1" applyFill="1" applyBorder="1" applyAlignment="1" applyProtection="1">
      <alignment horizontal="center" vertical="center"/>
      <protection locked="0"/>
    </xf>
    <xf numFmtId="0" fontId="2" fillId="6" borderId="1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10" fillId="0" borderId="14" xfId="0" applyFont="1" applyFill="1" applyBorder="1" applyAlignment="1">
      <alignment horizontal="left" vertical="center"/>
    </xf>
    <xf numFmtId="0" fontId="10" fillId="0" borderId="13" xfId="0" applyFont="1" applyFill="1" applyBorder="1" applyAlignment="1">
      <alignment horizontal="left" vertical="center"/>
    </xf>
    <xf numFmtId="0" fontId="10" fillId="0" borderId="13" xfId="0" applyFont="1" applyFill="1" applyBorder="1" applyAlignment="1">
      <alignment horizontal="center" vertical="center"/>
    </xf>
    <xf numFmtId="0" fontId="10" fillId="0" borderId="15" xfId="0" applyFont="1" applyFill="1" applyBorder="1" applyAlignment="1">
      <alignment horizontal="left" vertical="center"/>
    </xf>
    <xf numFmtId="0" fontId="10" fillId="0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Continuous" vertical="center"/>
    </xf>
    <xf numFmtId="0" fontId="10" fillId="5" borderId="0" xfId="0" applyFont="1" applyFill="1" applyAlignment="1">
      <alignment vertical="center"/>
    </xf>
    <xf numFmtId="0" fontId="11" fillId="6" borderId="1" xfId="0" applyFont="1" applyFill="1" applyBorder="1" applyAlignment="1">
      <alignment horizontal="center" vertical="center" wrapText="1"/>
    </xf>
    <xf numFmtId="0" fontId="10" fillId="3" borderId="0" xfId="0" applyFont="1" applyFill="1"/>
    <xf numFmtId="170" fontId="10" fillId="0" borderId="13" xfId="13" applyNumberFormat="1" applyFont="1" applyFill="1" applyBorder="1" applyAlignment="1">
      <alignment horizontal="right" vertical="center"/>
    </xf>
    <xf numFmtId="170" fontId="10" fillId="0" borderId="14" xfId="13" applyNumberFormat="1" applyFont="1" applyFill="1" applyBorder="1" applyAlignment="1">
      <alignment horizontal="right" vertical="center"/>
    </xf>
    <xf numFmtId="0" fontId="10" fillId="5" borderId="0" xfId="0" applyFont="1" applyFill="1" applyBorder="1"/>
    <xf numFmtId="0" fontId="3" fillId="3" borderId="1" xfId="14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167" fontId="10" fillId="0" borderId="14" xfId="0" applyNumberFormat="1" applyFont="1" applyFill="1" applyBorder="1" applyAlignment="1">
      <alignment horizontal="left" vertical="center"/>
    </xf>
    <xf numFmtId="167" fontId="10" fillId="0" borderId="13" xfId="0" applyNumberFormat="1" applyFont="1" applyFill="1" applyBorder="1" applyAlignment="1">
      <alignment horizontal="left" vertical="center"/>
    </xf>
    <xf numFmtId="170" fontId="3" fillId="0" borderId="13" xfId="13" applyNumberFormat="1" applyFont="1" applyFill="1" applyBorder="1" applyAlignment="1">
      <alignment horizontal="right" vertical="center"/>
    </xf>
    <xf numFmtId="0" fontId="10" fillId="5" borderId="0" xfId="0" applyFont="1" applyFill="1" applyBorder="1" applyAlignment="1">
      <alignment horizontal="right" vertical="center"/>
    </xf>
    <xf numFmtId="0" fontId="15" fillId="6" borderId="7" xfId="0" applyFont="1" applyFill="1" applyBorder="1" applyAlignment="1">
      <alignment horizontal="centerContinuous"/>
    </xf>
    <xf numFmtId="0" fontId="16" fillId="6" borderId="5" xfId="0" applyFont="1" applyFill="1" applyBorder="1" applyAlignment="1">
      <alignment horizontal="centerContinuous"/>
    </xf>
    <xf numFmtId="0" fontId="16" fillId="6" borderId="6" xfId="0" applyFont="1" applyFill="1" applyBorder="1" applyAlignment="1">
      <alignment horizontal="centerContinuous"/>
    </xf>
    <xf numFmtId="0" fontId="16" fillId="6" borderId="7" xfId="0" applyFont="1" applyFill="1" applyBorder="1" applyAlignment="1">
      <alignment horizontal="centerContinuous"/>
    </xf>
    <xf numFmtId="0" fontId="10" fillId="5" borderId="0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5" borderId="0" xfId="0" applyFont="1" applyFill="1" applyBorder="1" applyAlignment="1">
      <alignment horizontal="center" vertical="center"/>
    </xf>
    <xf numFmtId="0" fontId="10" fillId="5" borderId="13" xfId="0" applyFont="1" applyFill="1" applyBorder="1"/>
    <xf numFmtId="0" fontId="11" fillId="2" borderId="10" xfId="0" applyFont="1" applyFill="1" applyBorder="1" applyAlignment="1">
      <alignment horizontal="centerContinuous" vertical="center"/>
    </xf>
    <xf numFmtId="0" fontId="11" fillId="2" borderId="12" xfId="0" applyFont="1" applyFill="1" applyBorder="1" applyAlignment="1">
      <alignment horizontal="centerContinuous" vertical="center"/>
    </xf>
    <xf numFmtId="0" fontId="2" fillId="5" borderId="0" xfId="0" applyFont="1" applyFill="1" applyBorder="1" applyAlignment="1" applyProtection="1">
      <alignment vertical="center"/>
    </xf>
    <xf numFmtId="0" fontId="3" fillId="5" borderId="11" xfId="0" applyFont="1" applyFill="1" applyBorder="1" applyAlignment="1" applyProtection="1">
      <alignment horizontal="center" vertical="center"/>
      <protection locked="0"/>
    </xf>
    <xf numFmtId="0" fontId="10" fillId="2" borderId="10" xfId="0" applyFont="1" applyFill="1" applyBorder="1" applyAlignment="1">
      <alignment horizontal="centerContinuous" vertical="center"/>
    </xf>
    <xf numFmtId="0" fontId="10" fillId="2" borderId="1" xfId="0" applyFont="1" applyFill="1" applyBorder="1"/>
    <xf numFmtId="0" fontId="3" fillId="0" borderId="14" xfId="0" applyFont="1" applyFill="1" applyBorder="1" applyAlignment="1">
      <alignment horizontal="left"/>
    </xf>
    <xf numFmtId="0" fontId="3" fillId="0" borderId="13" xfId="0" applyFont="1" applyFill="1" applyBorder="1" applyAlignment="1">
      <alignment horizontal="left"/>
    </xf>
    <xf numFmtId="0" fontId="3" fillId="0" borderId="15" xfId="0" applyFont="1" applyFill="1" applyBorder="1" applyAlignment="1">
      <alignment horizontal="left"/>
    </xf>
    <xf numFmtId="0" fontId="10" fillId="8" borderId="14" xfId="0" applyFont="1" applyFill="1" applyBorder="1" applyAlignment="1">
      <alignment horizontal="left"/>
    </xf>
    <xf numFmtId="0" fontId="10" fillId="8" borderId="13" xfId="0" applyFont="1" applyFill="1" applyBorder="1" applyAlignment="1">
      <alignment horizontal="left"/>
    </xf>
    <xf numFmtId="0" fontId="10" fillId="8" borderId="15" xfId="0" applyFont="1" applyFill="1" applyBorder="1" applyAlignment="1">
      <alignment horizontal="left"/>
    </xf>
    <xf numFmtId="0" fontId="3" fillId="5" borderId="0" xfId="0" applyFont="1" applyFill="1" applyBorder="1"/>
    <xf numFmtId="0" fontId="3" fillId="0" borderId="13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left" vertical="center"/>
    </xf>
    <xf numFmtId="167" fontId="3" fillId="0" borderId="13" xfId="0" applyNumberFormat="1" applyFont="1" applyFill="1" applyBorder="1" applyAlignment="1">
      <alignment horizontal="left" vertical="center"/>
    </xf>
    <xf numFmtId="0" fontId="3" fillId="0" borderId="15" xfId="0" applyFont="1" applyFill="1" applyBorder="1" applyAlignment="1">
      <alignment horizontal="left" vertical="center"/>
    </xf>
    <xf numFmtId="167" fontId="3" fillId="0" borderId="15" xfId="0" applyNumberFormat="1" applyFont="1" applyFill="1" applyBorder="1" applyAlignment="1">
      <alignment horizontal="left" vertical="center"/>
    </xf>
    <xf numFmtId="170" fontId="3" fillId="0" borderId="15" xfId="13" applyNumberFormat="1" applyFont="1" applyFill="1" applyBorder="1" applyAlignment="1">
      <alignment horizontal="right" vertical="center"/>
    </xf>
    <xf numFmtId="0" fontId="3" fillId="0" borderId="1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70" fontId="3" fillId="0" borderId="14" xfId="13" applyNumberFormat="1" applyFont="1" applyFill="1" applyBorder="1" applyAlignment="1">
      <alignment horizontal="right" vertical="center"/>
    </xf>
    <xf numFmtId="170" fontId="3" fillId="0" borderId="13" xfId="13" applyNumberFormat="1" applyFont="1" applyFill="1" applyBorder="1" applyAlignment="1">
      <alignment horizontal="right" vertical="center"/>
    </xf>
    <xf numFmtId="0" fontId="3" fillId="0" borderId="14" xfId="0" applyFont="1" applyFill="1" applyBorder="1" applyAlignment="1">
      <alignment horizontal="left" vertical="center"/>
    </xf>
    <xf numFmtId="167" fontId="3" fillId="0" borderId="14" xfId="0" applyNumberFormat="1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167" fontId="10" fillId="5" borderId="0" xfId="0" applyNumberFormat="1" applyFont="1" applyFill="1" applyAlignment="1">
      <alignment horizontal="center" vertical="center"/>
    </xf>
    <xf numFmtId="164" fontId="10" fillId="5" borderId="0" xfId="0" applyNumberFormat="1" applyFont="1" applyFill="1" applyAlignment="1">
      <alignment horizontal="center" vertical="center"/>
    </xf>
    <xf numFmtId="0" fontId="10" fillId="5" borderId="0" xfId="0" applyNumberFormat="1" applyFont="1" applyFill="1"/>
    <xf numFmtId="0" fontId="10" fillId="5" borderId="0" xfId="0" applyFont="1" applyFill="1" applyAlignment="1">
      <alignment horizontal="center" vertical="center" wrapText="1"/>
    </xf>
    <xf numFmtId="167" fontId="10" fillId="5" borderId="0" xfId="0" applyNumberFormat="1" applyFont="1" applyFill="1" applyAlignment="1">
      <alignment horizontal="center" vertical="center" wrapText="1"/>
    </xf>
    <xf numFmtId="164" fontId="10" fillId="5" borderId="0" xfId="0" applyNumberFormat="1" applyFont="1" applyFill="1" applyAlignment="1">
      <alignment horizontal="center" vertical="center" wrapText="1"/>
    </xf>
    <xf numFmtId="3" fontId="10" fillId="5" borderId="0" xfId="0" applyNumberFormat="1" applyFont="1" applyFill="1" applyAlignment="1">
      <alignment horizontal="center" vertical="center" wrapText="1"/>
    </xf>
    <xf numFmtId="0" fontId="10" fillId="5" borderId="0" xfId="0" applyNumberFormat="1" applyFont="1" applyFill="1" applyAlignment="1">
      <alignment horizontal="center" vertical="center" wrapText="1"/>
    </xf>
    <xf numFmtId="0" fontId="3" fillId="3" borderId="14" xfId="0" applyFont="1" applyFill="1" applyBorder="1" applyAlignment="1">
      <alignment vertical="center"/>
    </xf>
    <xf numFmtId="0" fontId="3" fillId="3" borderId="13" xfId="0" applyFont="1" applyFill="1" applyBorder="1" applyAlignment="1">
      <alignment vertical="center"/>
    </xf>
    <xf numFmtId="0" fontId="10" fillId="3" borderId="14" xfId="0" applyFont="1" applyFill="1" applyBorder="1" applyAlignment="1">
      <alignment horizontal="left" vertical="center"/>
    </xf>
    <xf numFmtId="0" fontId="10" fillId="3" borderId="13" xfId="0" applyFont="1" applyFill="1" applyBorder="1" applyAlignment="1">
      <alignment horizontal="left" vertical="center"/>
    </xf>
    <xf numFmtId="0" fontId="10" fillId="3" borderId="15" xfId="0" applyFont="1" applyFill="1" applyBorder="1" applyAlignment="1">
      <alignment horizontal="left" vertical="center"/>
    </xf>
    <xf numFmtId="170" fontId="10" fillId="3" borderId="13" xfId="13" applyNumberFormat="1" applyFont="1" applyFill="1" applyBorder="1" applyAlignment="1">
      <alignment horizontal="right" vertical="center"/>
    </xf>
    <xf numFmtId="170" fontId="3" fillId="3" borderId="13" xfId="13" applyNumberFormat="1" applyFont="1" applyFill="1" applyBorder="1" applyAlignment="1">
      <alignment horizontal="right" vertical="center"/>
    </xf>
    <xf numFmtId="0" fontId="10" fillId="3" borderId="13" xfId="0" applyFont="1" applyFill="1" applyBorder="1" applyAlignment="1">
      <alignment horizontal="center" vertical="center"/>
    </xf>
    <xf numFmtId="0" fontId="10" fillId="3" borderId="15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left"/>
    </xf>
    <xf numFmtId="167" fontId="10" fillId="3" borderId="14" xfId="0" applyNumberFormat="1" applyFont="1" applyFill="1" applyBorder="1" applyAlignment="1">
      <alignment horizontal="left" vertical="center"/>
    </xf>
    <xf numFmtId="170" fontId="3" fillId="3" borderId="14" xfId="13" applyNumberFormat="1" applyFont="1" applyFill="1" applyBorder="1" applyAlignment="1">
      <alignment horizontal="right" vertical="center"/>
    </xf>
    <xf numFmtId="0" fontId="3" fillId="3" borderId="13" xfId="0" applyFont="1" applyFill="1" applyBorder="1" applyAlignment="1">
      <alignment horizontal="left"/>
    </xf>
    <xf numFmtId="167" fontId="10" fillId="3" borderId="13" xfId="0" applyNumberFormat="1" applyFont="1" applyFill="1" applyBorder="1" applyAlignment="1">
      <alignment horizontal="left" vertical="center"/>
    </xf>
    <xf numFmtId="167" fontId="3" fillId="3" borderId="13" xfId="0" applyNumberFormat="1" applyFont="1" applyFill="1" applyBorder="1" applyAlignment="1">
      <alignment horizontal="left" vertical="center"/>
    </xf>
    <xf numFmtId="0" fontId="3" fillId="3" borderId="15" xfId="0" applyFont="1" applyFill="1" applyBorder="1" applyAlignment="1">
      <alignment horizontal="left"/>
    </xf>
    <xf numFmtId="170" fontId="10" fillId="3" borderId="14" xfId="13" applyNumberFormat="1" applyFont="1" applyFill="1" applyBorder="1" applyAlignment="1">
      <alignment horizontal="right" vertical="center"/>
    </xf>
    <xf numFmtId="170" fontId="10" fillId="3" borderId="15" xfId="13" applyNumberFormat="1" applyFont="1" applyFill="1" applyBorder="1" applyAlignment="1">
      <alignment horizontal="right" vertical="center"/>
    </xf>
    <xf numFmtId="167" fontId="3" fillId="3" borderId="15" xfId="0" applyNumberFormat="1" applyFont="1" applyFill="1" applyBorder="1" applyAlignment="1">
      <alignment horizontal="left" vertical="center"/>
    </xf>
    <xf numFmtId="170" fontId="3" fillId="3" borderId="15" xfId="13" applyNumberFormat="1" applyFont="1" applyFill="1" applyBorder="1" applyAlignment="1">
      <alignment horizontal="right" vertical="center"/>
    </xf>
    <xf numFmtId="167" fontId="3" fillId="3" borderId="14" xfId="0" applyNumberFormat="1" applyFont="1" applyFill="1" applyBorder="1" applyAlignment="1">
      <alignment horizontal="left" vertical="center"/>
    </xf>
    <xf numFmtId="0" fontId="3" fillId="3" borderId="14" xfId="0" applyFont="1" applyFill="1" applyBorder="1" applyAlignment="1">
      <alignment horizontal="left" vertical="center"/>
    </xf>
    <xf numFmtId="0" fontId="3" fillId="3" borderId="13" xfId="0" applyFont="1" applyFill="1" applyBorder="1" applyAlignment="1">
      <alignment horizontal="left" vertical="center"/>
    </xf>
    <xf numFmtId="0" fontId="3" fillId="5" borderId="0" xfId="0" applyFont="1" applyFill="1" applyAlignment="1">
      <alignment horizontal="right" vertical="center"/>
    </xf>
    <xf numFmtId="0" fontId="3" fillId="5" borderId="0" xfId="0" applyFont="1" applyFill="1" applyBorder="1" applyAlignment="1">
      <alignment horizontal="right" vertical="center"/>
    </xf>
    <xf numFmtId="0" fontId="10" fillId="5" borderId="0" xfId="0" applyFont="1" applyFill="1" applyAlignment="1">
      <alignment horizontal="right"/>
    </xf>
    <xf numFmtId="0" fontId="3" fillId="5" borderId="0" xfId="0" applyFont="1" applyFill="1" applyAlignment="1">
      <alignment horizontal="right"/>
    </xf>
    <xf numFmtId="0" fontId="10" fillId="0" borderId="14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/>
    </xf>
    <xf numFmtId="0" fontId="10" fillId="0" borderId="13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/>
    </xf>
    <xf numFmtId="0" fontId="10" fillId="0" borderId="15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/>
    </xf>
    <xf numFmtId="0" fontId="10" fillId="0" borderId="14" xfId="0" applyFont="1" applyBorder="1" applyAlignment="1">
      <alignment horizontal="right" vertical="center"/>
    </xf>
    <xf numFmtId="0" fontId="10" fillId="0" borderId="13" xfId="0" applyFont="1" applyBorder="1" applyAlignment="1">
      <alignment horizontal="right" vertical="center"/>
    </xf>
    <xf numFmtId="0" fontId="10" fillId="0" borderId="15" xfId="0" applyFont="1" applyBorder="1" applyAlignment="1">
      <alignment horizontal="right" vertical="center"/>
    </xf>
    <xf numFmtId="0" fontId="3" fillId="0" borderId="14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right"/>
    </xf>
    <xf numFmtId="171" fontId="3" fillId="3" borderId="14" xfId="0" applyNumberFormat="1" applyFont="1" applyFill="1" applyBorder="1" applyAlignment="1">
      <alignment horizontal="right"/>
    </xf>
    <xf numFmtId="0" fontId="3" fillId="3" borderId="14" xfId="0" applyFont="1" applyFill="1" applyBorder="1" applyAlignment="1">
      <alignment horizontal="right"/>
    </xf>
    <xf numFmtId="0" fontId="10" fillId="3" borderId="13" xfId="0" applyFont="1" applyFill="1" applyBorder="1" applyAlignment="1">
      <alignment horizontal="right"/>
    </xf>
    <xf numFmtId="171" fontId="3" fillId="3" borderId="13" xfId="0" applyNumberFormat="1" applyFont="1" applyFill="1" applyBorder="1" applyAlignment="1">
      <alignment horizontal="right"/>
    </xf>
    <xf numFmtId="0" fontId="3" fillId="3" borderId="13" xfId="0" applyFont="1" applyFill="1" applyBorder="1" applyAlignment="1">
      <alignment horizontal="right"/>
    </xf>
    <xf numFmtId="0" fontId="3" fillId="3" borderId="15" xfId="0" applyFont="1" applyFill="1" applyBorder="1" applyAlignment="1">
      <alignment horizontal="right"/>
    </xf>
    <xf numFmtId="171" fontId="3" fillId="3" borderId="15" xfId="0" applyNumberFormat="1" applyFont="1" applyFill="1" applyBorder="1" applyAlignment="1">
      <alignment horizontal="right"/>
    </xf>
    <xf numFmtId="171" fontId="10" fillId="3" borderId="13" xfId="0" applyNumberFormat="1" applyFont="1" applyFill="1" applyBorder="1" applyAlignment="1">
      <alignment horizontal="right"/>
    </xf>
    <xf numFmtId="0" fontId="10" fillId="3" borderId="15" xfId="0" applyFont="1" applyFill="1" applyBorder="1" applyAlignment="1">
      <alignment horizontal="right"/>
    </xf>
    <xf numFmtId="0" fontId="3" fillId="3" borderId="9" xfId="0" applyFont="1" applyFill="1" applyBorder="1"/>
    <xf numFmtId="0" fontId="3" fillId="3" borderId="3" xfId="0" applyFont="1" applyFill="1" applyBorder="1"/>
    <xf numFmtId="0" fontId="3" fillId="3" borderId="4" xfId="0" applyFont="1" applyFill="1" applyBorder="1"/>
    <xf numFmtId="0" fontId="3" fillId="3" borderId="8" xfId="0" applyFont="1" applyFill="1" applyBorder="1"/>
    <xf numFmtId="0" fontId="3" fillId="3" borderId="0" xfId="0" applyFont="1" applyFill="1" applyBorder="1"/>
    <xf numFmtId="0" fontId="3" fillId="3" borderId="2" xfId="0" applyFont="1" applyFill="1" applyBorder="1"/>
    <xf numFmtId="0" fontId="3" fillId="6" borderId="1" xfId="0" applyFont="1" applyFill="1" applyBorder="1"/>
    <xf numFmtId="0" fontId="11" fillId="6" borderId="10" xfId="0" applyFont="1" applyFill="1" applyBorder="1" applyAlignment="1">
      <alignment horizontal="centerContinuous" vertical="center"/>
    </xf>
    <xf numFmtId="0" fontId="11" fillId="6" borderId="16" xfId="0" applyFont="1" applyFill="1" applyBorder="1" applyAlignment="1">
      <alignment horizontal="centerContinuous" vertical="center"/>
    </xf>
    <xf numFmtId="0" fontId="11" fillId="6" borderId="12" xfId="0" applyFont="1" applyFill="1" applyBorder="1" applyAlignment="1">
      <alignment horizontal="centerContinuous" vertical="center"/>
    </xf>
    <xf numFmtId="0" fontId="10" fillId="3" borderId="13" xfId="0" applyFont="1" applyFill="1" applyBorder="1"/>
    <xf numFmtId="0" fontId="10" fillId="3" borderId="15" xfId="0" applyFont="1" applyFill="1" applyBorder="1"/>
    <xf numFmtId="0" fontId="12" fillId="3" borderId="14" xfId="0" applyFont="1" applyFill="1" applyBorder="1" applyAlignment="1">
      <alignment horizontal="left"/>
    </xf>
    <xf numFmtId="0" fontId="10" fillId="3" borderId="14" xfId="0" applyFont="1" applyFill="1" applyBorder="1" applyAlignment="1">
      <alignment horizontal="left"/>
    </xf>
    <xf numFmtId="0" fontId="10" fillId="3" borderId="13" xfId="0" applyFont="1" applyFill="1" applyBorder="1" applyAlignment="1">
      <alignment horizontal="left"/>
    </xf>
    <xf numFmtId="0" fontId="12" fillId="3" borderId="15" xfId="0" applyFont="1" applyFill="1" applyBorder="1" applyAlignment="1">
      <alignment horizontal="left"/>
    </xf>
    <xf numFmtId="0" fontId="10" fillId="3" borderId="15" xfId="0" applyFont="1" applyFill="1" applyBorder="1" applyAlignment="1">
      <alignment horizontal="left"/>
    </xf>
    <xf numFmtId="0" fontId="3" fillId="3" borderId="13" xfId="0" applyFont="1" applyFill="1" applyBorder="1"/>
    <xf numFmtId="0" fontId="3" fillId="3" borderId="15" xfId="0" applyFont="1" applyFill="1" applyBorder="1"/>
    <xf numFmtId="171" fontId="3" fillId="3" borderId="14" xfId="0" applyNumberFormat="1" applyFont="1" applyFill="1" applyBorder="1" applyAlignment="1">
      <alignment horizontal="center"/>
    </xf>
    <xf numFmtId="171" fontId="3" fillId="3" borderId="13" xfId="0" applyNumberFormat="1" applyFont="1" applyFill="1" applyBorder="1" applyAlignment="1">
      <alignment horizontal="center"/>
    </xf>
    <xf numFmtId="171" fontId="10" fillId="3" borderId="13" xfId="0" applyNumberFormat="1" applyFont="1" applyFill="1" applyBorder="1" applyAlignment="1">
      <alignment horizontal="center"/>
    </xf>
    <xf numFmtId="171" fontId="3" fillId="3" borderId="15" xfId="0" applyNumberFormat="1" applyFont="1" applyFill="1" applyBorder="1" applyAlignment="1">
      <alignment horizontal="center"/>
    </xf>
    <xf numFmtId="0" fontId="3" fillId="6" borderId="14" xfId="0" applyFont="1" applyFill="1" applyBorder="1"/>
    <xf numFmtId="0" fontId="3" fillId="6" borderId="13" xfId="0" applyFont="1" applyFill="1" applyBorder="1"/>
    <xf numFmtId="167" fontId="3" fillId="3" borderId="13" xfId="0" applyNumberFormat="1" applyFont="1" applyFill="1" applyBorder="1" applyAlignment="1">
      <alignment horizontal="center"/>
    </xf>
    <xf numFmtId="0" fontId="3" fillId="6" borderId="15" xfId="0" applyFont="1" applyFill="1" applyBorder="1" applyProtection="1"/>
    <xf numFmtId="0" fontId="3" fillId="3" borderId="15" xfId="0" applyFont="1" applyFill="1" applyBorder="1" applyAlignment="1" applyProtection="1">
      <alignment horizontal="center"/>
      <protection locked="0"/>
    </xf>
    <xf numFmtId="166" fontId="3" fillId="3" borderId="14" xfId="0" applyNumberFormat="1" applyFont="1" applyFill="1" applyBorder="1" applyAlignment="1" applyProtection="1">
      <alignment horizontal="center"/>
      <protection locked="0"/>
    </xf>
    <xf numFmtId="166" fontId="3" fillId="3" borderId="13" xfId="0" applyNumberFormat="1" applyFont="1" applyFill="1" applyBorder="1" applyAlignment="1" applyProtection="1">
      <alignment horizontal="center"/>
      <protection locked="0"/>
    </xf>
    <xf numFmtId="0" fontId="3" fillId="3" borderId="13" xfId="0" applyNumberFormat="1" applyFont="1" applyFill="1" applyBorder="1" applyAlignment="1" applyProtection="1">
      <alignment horizontal="center"/>
      <protection locked="0"/>
    </xf>
    <xf numFmtId="0" fontId="3" fillId="3" borderId="13" xfId="0" applyNumberFormat="1" applyFont="1" applyFill="1" applyBorder="1" applyAlignment="1">
      <alignment horizontal="center"/>
    </xf>
    <xf numFmtId="0" fontId="3" fillId="6" borderId="13" xfId="0" applyFont="1" applyFill="1" applyBorder="1" applyProtection="1"/>
    <xf numFmtId="167" fontId="3" fillId="3" borderId="13" xfId="0" applyNumberFormat="1" applyFont="1" applyFill="1" applyBorder="1" applyAlignment="1" applyProtection="1">
      <alignment horizontal="center"/>
      <protection locked="0"/>
    </xf>
    <xf numFmtId="167" fontId="3" fillId="3" borderId="15" xfId="0" applyNumberFormat="1" applyFont="1" applyFill="1" applyBorder="1" applyAlignment="1" applyProtection="1">
      <alignment horizontal="center"/>
      <protection locked="0"/>
    </xf>
    <xf numFmtId="0" fontId="14" fillId="5" borderId="0" xfId="0" applyFont="1" applyFill="1"/>
    <xf numFmtId="171" fontId="10" fillId="5" borderId="0" xfId="0" applyNumberFormat="1" applyFont="1" applyFill="1" applyAlignment="1">
      <alignment horizontal="center" vertical="center" wrapText="1"/>
    </xf>
    <xf numFmtId="170" fontId="10" fillId="5" borderId="0" xfId="0" applyNumberFormat="1" applyFont="1" applyFill="1" applyAlignment="1">
      <alignment horizontal="center" vertical="center" wrapText="1"/>
    </xf>
    <xf numFmtId="9" fontId="10" fillId="5" borderId="0" xfId="0" applyNumberFormat="1" applyFont="1" applyFill="1" applyAlignment="1">
      <alignment horizontal="center" vertical="center" wrapText="1"/>
    </xf>
    <xf numFmtId="171" fontId="10" fillId="3" borderId="14" xfId="13" applyNumberFormat="1" applyFont="1" applyFill="1" applyBorder="1" applyAlignment="1">
      <alignment horizontal="right" vertical="center"/>
    </xf>
    <xf numFmtId="171" fontId="10" fillId="3" borderId="13" xfId="13" applyNumberFormat="1" applyFont="1" applyFill="1" applyBorder="1" applyAlignment="1">
      <alignment horizontal="right" vertical="center"/>
    </xf>
    <xf numFmtId="171" fontId="3" fillId="3" borderId="13" xfId="13" applyNumberFormat="1" applyFont="1" applyFill="1" applyBorder="1" applyAlignment="1">
      <alignment horizontal="right" vertical="center"/>
    </xf>
    <xf numFmtId="171" fontId="10" fillId="3" borderId="15" xfId="0" applyNumberFormat="1" applyFont="1" applyFill="1" applyBorder="1" applyAlignment="1">
      <alignment horizontal="right"/>
    </xf>
    <xf numFmtId="171" fontId="10" fillId="3" borderId="15" xfId="0" applyNumberFormat="1" applyFont="1" applyFill="1" applyBorder="1" applyAlignment="1">
      <alignment horizontal="center"/>
    </xf>
    <xf numFmtId="167" fontId="10" fillId="0" borderId="13" xfId="0" applyNumberFormat="1" applyFont="1" applyBorder="1" applyAlignment="1">
      <alignment horizontal="center" vertical="center"/>
    </xf>
    <xf numFmtId="170" fontId="10" fillId="0" borderId="13" xfId="0" applyNumberFormat="1" applyFont="1" applyBorder="1" applyAlignment="1">
      <alignment horizontal="right" vertical="center"/>
    </xf>
    <xf numFmtId="167" fontId="10" fillId="5" borderId="0" xfId="0" applyNumberFormat="1" applyFont="1" applyFill="1" applyBorder="1"/>
    <xf numFmtId="0" fontId="10" fillId="8" borderId="17" xfId="0" applyFont="1" applyFill="1" applyBorder="1"/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 vertical="center"/>
    </xf>
    <xf numFmtId="167" fontId="3" fillId="0" borderId="1" xfId="0" applyNumberFormat="1" applyFont="1" applyFill="1" applyBorder="1" applyAlignment="1">
      <alignment horizontal="left" vertical="center"/>
    </xf>
    <xf numFmtId="170" fontId="3" fillId="0" borderId="1" xfId="13" applyNumberFormat="1" applyFont="1" applyFill="1" applyBorder="1" applyAlignment="1">
      <alignment horizontal="right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left" vertical="center"/>
    </xf>
    <xf numFmtId="170" fontId="10" fillId="3" borderId="1" xfId="13" applyNumberFormat="1" applyFont="1" applyFill="1" applyBorder="1" applyAlignment="1">
      <alignment horizontal="right" vertical="center"/>
    </xf>
    <xf numFmtId="167" fontId="10" fillId="0" borderId="15" xfId="0" applyNumberFormat="1" applyFont="1" applyFill="1" applyBorder="1" applyAlignment="1">
      <alignment horizontal="left" vertical="center"/>
    </xf>
    <xf numFmtId="170" fontId="10" fillId="0" borderId="15" xfId="13" applyNumberFormat="1" applyFont="1" applyFill="1" applyBorder="1" applyAlignment="1">
      <alignment horizontal="right" vertical="center"/>
    </xf>
    <xf numFmtId="167" fontId="10" fillId="0" borderId="1" xfId="0" applyNumberFormat="1" applyFont="1" applyBorder="1" applyAlignment="1">
      <alignment horizontal="center" vertical="center"/>
    </xf>
    <xf numFmtId="170" fontId="10" fillId="0" borderId="1" xfId="0" applyNumberFormat="1" applyFont="1" applyBorder="1" applyAlignment="1">
      <alignment horizontal="right" vertical="center"/>
    </xf>
    <xf numFmtId="170" fontId="10" fillId="0" borderId="1" xfId="13" applyNumberFormat="1" applyFont="1" applyFill="1" applyBorder="1" applyAlignment="1">
      <alignment horizontal="right" vertical="center"/>
    </xf>
    <xf numFmtId="167" fontId="3" fillId="3" borderId="1" xfId="0" applyNumberFormat="1" applyFont="1" applyFill="1" applyBorder="1" applyAlignment="1">
      <alignment horizontal="center"/>
    </xf>
    <xf numFmtId="0" fontId="12" fillId="0" borderId="13" xfId="0" applyFont="1" applyFill="1" applyBorder="1" applyAlignment="1">
      <alignment horizontal="left"/>
    </xf>
    <xf numFmtId="0" fontId="12" fillId="0" borderId="13" xfId="0" applyFont="1" applyFill="1" applyBorder="1" applyAlignment="1">
      <alignment horizontal="left" vertical="center"/>
    </xf>
    <xf numFmtId="167" fontId="12" fillId="0" borderId="13" xfId="0" applyNumberFormat="1" applyFont="1" applyFill="1" applyBorder="1" applyAlignment="1">
      <alignment horizontal="left" vertical="center"/>
    </xf>
    <xf numFmtId="170" fontId="12" fillId="0" borderId="13" xfId="13" applyNumberFormat="1" applyFont="1" applyFill="1" applyBorder="1" applyAlignment="1">
      <alignment horizontal="right" vertical="center"/>
    </xf>
    <xf numFmtId="0" fontId="12" fillId="5" borderId="0" xfId="0" applyFont="1" applyFill="1" applyBorder="1"/>
    <xf numFmtId="171" fontId="3" fillId="0" borderId="14" xfId="0" applyNumberFormat="1" applyFont="1" applyBorder="1" applyAlignment="1">
      <alignment horizontal="right" vertical="center"/>
    </xf>
    <xf numFmtId="171" fontId="3" fillId="0" borderId="13" xfId="0" applyNumberFormat="1" applyFont="1" applyBorder="1" applyAlignment="1">
      <alignment horizontal="right" vertical="center"/>
    </xf>
    <xf numFmtId="0" fontId="10" fillId="3" borderId="1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 textRotation="255"/>
    </xf>
    <xf numFmtId="0" fontId="10" fillId="2" borderId="15" xfId="0" applyFont="1" applyFill="1" applyBorder="1" applyAlignment="1">
      <alignment horizontal="center" vertical="center" textRotation="255"/>
    </xf>
    <xf numFmtId="15" fontId="10" fillId="2" borderId="14" xfId="0" applyNumberFormat="1" applyFont="1" applyFill="1" applyBorder="1" applyAlignment="1">
      <alignment horizontal="center" vertical="center" textRotation="255"/>
    </xf>
    <xf numFmtId="15" fontId="10" fillId="2" borderId="13" xfId="0" applyNumberFormat="1" applyFont="1" applyFill="1" applyBorder="1" applyAlignment="1">
      <alignment horizontal="center" vertical="center" textRotation="255"/>
    </xf>
    <xf numFmtId="15" fontId="10" fillId="2" borderId="15" xfId="0" applyNumberFormat="1" applyFont="1" applyFill="1" applyBorder="1" applyAlignment="1">
      <alignment horizontal="center" vertical="center" textRotation="255"/>
    </xf>
  </cellXfs>
  <cellStyles count="16">
    <cellStyle name="Bad" xfId="14" builtinId="27"/>
    <cellStyle name="Euro" xfId="15"/>
    <cellStyle name="Migliaia (0)_AZIONI" xfId="2"/>
    <cellStyle name="Migliaia_AZIONI" xfId="3"/>
    <cellStyle name="Normal" xfId="0" builtinId="0"/>
    <cellStyle name="Normal 2" xfId="1"/>
    <cellStyle name="Normal 2 2" xfId="4"/>
    <cellStyle name="Normal 3" xfId="5"/>
    <cellStyle name="Normale_AZIONI" xfId="6"/>
    <cellStyle name="Percent" xfId="13" builtinId="5"/>
    <cellStyle name="Percent 2" xfId="7"/>
    <cellStyle name="Percent 2 2" xfId="8"/>
    <cellStyle name="Percent 3" xfId="9"/>
    <cellStyle name="result" xfId="10"/>
    <cellStyle name="Valuta (0)_AZIONI" xfId="11"/>
    <cellStyle name="Valuta_AZIONI" xfId="12"/>
  </cellStyles>
  <dxfs count="6">
    <dxf>
      <font>
        <color rgb="FFFF0000"/>
      </font>
    </dxf>
    <dxf>
      <font>
        <color rgb="FFFF0000"/>
      </font>
    </dxf>
    <dxf>
      <font>
        <color rgb="FF006100"/>
      </font>
      <fill>
        <patternFill>
          <bgColor rgb="FFC6EFCE"/>
        </patternFill>
      </fill>
    </dxf>
    <dxf>
      <font>
        <color rgb="FFFF0000"/>
      </font>
    </dxf>
    <dxf>
      <font>
        <color rgb="FFFF0000"/>
      </font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FF66"/>
      <color rgb="FFCC99FF"/>
      <color rgb="FF99FF33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tgetrtdserver">
      <tp>
        <v>2.1698543840000002</v>
        <stp/>
        <stp>_x0011_USD_CURVE_OIS_13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8" s="23"/>
      </tp>
      <tp>
        <v>2.4078070559999998</v>
        <stp/>
        <stp>_x0011_USD_CURVE_OIS_23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8" s="23"/>
      </tp>
      <tp>
        <v>2.6338129889999999</v>
        <stp/>
        <stp>_x0011_USD_CURVE_STD_24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59" s="23"/>
      </tp>
      <tp>
        <v>2.4273178610000001</v>
        <stp/>
        <stp>_x0011_USD_CURVE_STD_14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49" s="23"/>
      </tp>
      <tp>
        <v>2.1179999999999999</v>
        <stp/>
        <stp>_x0011_USD_CURVE_OIS_12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7" s="23"/>
      </tp>
      <tp>
        <v>2.3960666380000002</v>
        <stp/>
        <stp>_x0011_USD_CURVE_OIS_22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7" s="23"/>
      </tp>
      <tp>
        <v>2.6429999999999998</v>
        <stp/>
        <stp>_x0011_USD_CURVE_STD_25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60" s="23"/>
      </tp>
      <tp>
        <v>2.464</v>
        <stp/>
        <stp>_x0011_USD_CURVE_STD_15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50" s="23"/>
      </tp>
      <tp>
        <v>2.0577027920000002</v>
        <stp/>
        <stp>_x0011_USD_CURVE_OIS_11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6" s="23"/>
      </tp>
      <tp>
        <v>2.3829112069999998</v>
        <stp/>
        <stp>_x0011_USD_CURVE_OIS_21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6" s="23"/>
      </tp>
      <tp>
        <v>2.6524947829999999</v>
        <stp/>
        <stp>_x0011_USD_CURVE_STD_26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61" s="23"/>
      </tp>
      <tp>
        <v>2.4956622359999998</v>
        <stp/>
        <stp>_x0011_USD_CURVE_STD_16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51" s="23"/>
      </tp>
      <tp>
        <v>0.36799999999999999</v>
        <stp/>
        <stp>_x0011_USD_CURVE_OIS_11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22" s="23"/>
      </tp>
      <tp>
        <v>1.9869999999999999</v>
        <stp/>
        <stp>_x0011_USD_CURVE_OIS_10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5" s="23"/>
      </tp>
      <tp>
        <v>2.3679999999999999</v>
        <stp/>
        <stp>_x0011_USD_CURVE_OIS_20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5" s="23"/>
      </tp>
      <tp>
        <v>2.4630000000000001</v>
        <stp/>
        <stp>_x0011_USD_CURVE_OIS_30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5" s="23"/>
      </tp>
      <tp>
        <v>2.4769999999999999</v>
        <stp/>
        <stp>_x0011_USD_CURVE_OIS_40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6" s="23"/>
      </tp>
      <tp>
        <v>2.4620000000000002</v>
        <stp/>
        <stp>_x0011_USD_CURVE_OIS_50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7" s="23"/>
      </tp>
      <tp>
        <v>2.4489038170000001</v>
        <stp/>
        <stp>_x0011_USD_CURVE_OIS_60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8" s="23"/>
      </tp>
      <tp>
        <v>2.6602631880000001</v>
        <stp/>
        <stp>_x0011_USD_CURVE_STD_27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62" s="23"/>
      </tp>
      <tp>
        <v>2.5231596119999997</v>
        <stp/>
        <stp>_x0011_USD_CURVE_STD_17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52" s="23"/>
      </tp>
      <tp>
        <v>0.34799999999999998</v>
        <stp/>
        <stp>_x0011_USD_CURVE_OIS_10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21" s="23"/>
      </tp>
      <tp>
        <v>2.3089441229999998</v>
        <stp/>
        <stp>_x0011_USD_CURVE_OIS_17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2" s="23"/>
      </tp>
      <tp>
        <v>2.4446688170000002</v>
        <stp/>
        <stp>_x0011_USD_CURVE_OIS_27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2" s="23"/>
      </tp>
      <tp>
        <v>2.6671848929999999</v>
        <stp/>
        <stp>_x0011_USD_CURVE_STD_60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68" s="23"/>
      </tp>
      <tp>
        <v>2.6819999999999999</v>
        <stp/>
        <stp>_x0011_USD_CURVE_STD_50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67" s="23"/>
      </tp>
      <tp>
        <v>2.698</v>
        <stp/>
        <stp>_x0011_USD_CURVE_STD_40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66" s="23"/>
      </tp>
      <tp>
        <v>2.6790000000000003</v>
        <stp/>
        <stp>_x0011_USD_CURVE_STD_30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65" s="23"/>
      </tp>
      <tp>
        <v>2.585</v>
        <stp/>
        <stp>_x0011_USD_CURVE_STD_20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55" s="23"/>
      </tp>
      <tp>
        <v>2.1989999999999998</v>
        <stp/>
        <stp>_x0011_USD_CURVE_STD_10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45" s="23"/>
      </tp>
      <tp>
        <v>2.282355634</v>
        <stp/>
        <stp>_x0011_USD_CURVE_OIS_16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1" s="23"/>
      </tp>
      <tp>
        <v>2.4367589500000002</v>
        <stp/>
        <stp>_x0011_USD_CURVE_OIS_26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1" s="23"/>
      </tp>
      <tp>
        <v>2.599837682</v>
        <stp/>
        <stp>_x0011_USD_CURVE_STD_21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56" s="23"/>
      </tp>
      <tp>
        <v>2.2717155469999999</v>
        <stp/>
        <stp>_x0011_USD_CURVE_STD_11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46" s="23"/>
      </tp>
      <tp>
        <v>2.136852352</v>
        <stp/>
        <stp>_x0010_USD_CURVE_12M_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2" s="23"/>
      </tp>
      <tp>
        <v>1.9909820899999999</v>
        <stp/>
        <stp>_x0010_USD_CURVE_12M_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1" s="23"/>
      </tp>
      <tp>
        <v>1.8163417159999999</v>
        <stp/>
        <stp>_x0010_USD_CURVE_12M_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0" s="23"/>
      </tp>
      <tp>
        <v>1.6139265780000001</v>
        <stp/>
        <stp>_x0010_USD_CURVE_12M_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39" s="23"/>
      </tp>
      <tp>
        <v>1.3802466369999999</v>
        <stp/>
        <stp>_x0010_USD_CURVE_12M_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38" s="23"/>
      </tp>
      <tp>
        <v>1.1287174129999999</v>
        <stp/>
        <stp>_x0010_USD_CURVE_12M_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37" s="23"/>
      </tp>
      <tp>
        <v>0.85680000000000001</v>
        <stp/>
        <stp>_x0010_USD_CURVE_12M_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33" s="23"/>
      </tp>
      <tp>
        <v>2.355268481</v>
        <stp/>
        <stp>_x0010_USD_CURVE_12M_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4" s="23"/>
      </tp>
      <tp>
        <v>2.2564375220000001</v>
        <stp/>
        <stp>_x0010_USD_CURVE_12M_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3" s="23"/>
      </tp>
      <tp>
        <v>2.2509999999999999</v>
        <stp/>
        <stp>_x0011_USD_CURVE_OIS_15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0" s="23"/>
      </tp>
      <tp>
        <v>2.4279999999999999</v>
        <stp/>
        <stp>_x0011_USD_CURVE_OIS_25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0" s="23"/>
      </tp>
      <tp>
        <v>2.6131457139999998</v>
        <stp/>
        <stp>_x0011_USD_CURVE_STD_22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57" s="23"/>
      </tp>
      <tp>
        <v>2.3319999999999999</v>
        <stp/>
        <stp>_x0011_USD_CURVE_STD_12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47" s="23"/>
      </tp>
      <tp>
        <v>2.2137161810000001</v>
        <stp/>
        <stp>_x0011_USD_CURVE_OIS_14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9" s="23"/>
      </tp>
      <tp>
        <v>2.4184355910000002</v>
        <stp/>
        <stp>_x0011_USD_CURVE_OIS_24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9" s="23"/>
      </tp>
      <tp>
        <v>2.6245639990000003</v>
        <stp/>
        <stp>_x0011_USD_CURVE_STD_23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58" s="23"/>
      </tp>
      <tp>
        <v>2.384446107</v>
        <stp/>
        <stp>_x0011_USD_CURVE_STD_13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48" s="23"/>
      </tp>
      <tp>
        <v>2.351109304</v>
        <stp/>
        <stp>_x0011_USD_CURVE_OIS_19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4" s="23"/>
      </tp>
      <tp>
        <v>2.4578514249999999</v>
        <stp/>
        <stp>_x0011_USD_CURVE_OIS_29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4" s="23"/>
      </tp>
      <tp>
        <v>2.355268481</v>
        <stp/>
        <stp>_x0010_USD_CURVE_12M_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4" s="23"/>
      </tp>
      <tp>
        <v>2.2564375220000001</v>
        <stp/>
        <stp>_x0010_USD_CURVE_12M_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3" s="23"/>
      </tp>
      <tp>
        <v>1.8163417159999999</v>
        <stp/>
        <stp>_x0010_USD_CURVE_12M_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0" s="23"/>
      </tp>
      <tp>
        <v>1.6139265780000001</v>
        <stp/>
        <stp>_x0010_USD_CURVE_12M_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39" s="23"/>
      </tp>
      <tp>
        <v>2.136852352</v>
        <stp/>
        <stp>_x0010_USD_CURVE_12M_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2" s="23"/>
      </tp>
      <tp>
        <v>1.9909820899999999</v>
        <stp/>
        <stp>_x0010_USD_CURVE_12M_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1" s="23"/>
      </tp>
      <tp>
        <v>0.85680000000000001</v>
        <stp/>
        <stp>_x0010_USD_CURVE_12M_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33" s="23"/>
      </tp>
      <tp>
        <v>1.3802466369999999</v>
        <stp/>
        <stp>_x0010_USD_CURVE_12M_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38" s="23"/>
      </tp>
      <tp>
        <v>1.1287174129999999</v>
        <stp/>
        <stp>_x0010_USD_CURVE_12M_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37" s="23"/>
      </tp>
      <tp>
        <v>2.3316903139999998</v>
        <stp/>
        <stp>_x0011_USD_CURVE_OIS_18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3" s="23"/>
      </tp>
      <tp>
        <v>2.4516915319999999</v>
        <stp/>
        <stp>_x0011_USD_CURVE_OIS_28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3" s="23"/>
      </tp>
      <tp>
        <v>2.6669003020000002</v>
        <stp/>
        <stp>_x0011_USD_CURVE_STD_28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63" s="23"/>
      </tp>
      <tp>
        <v>2.5470207810000001</v>
        <stp/>
        <stp>_x0011_USD_CURVE_STD_18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53" s="23"/>
      </tp>
      <tp>
        <v>2.6734227270000002</v>
        <stp/>
        <stp>_x0011_USD_CURVE_STD_29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64" s="23"/>
      </tp>
      <tp>
        <v>2.5676457040000003</v>
        <stp/>
        <stp>_x0011_USD_CURVE_STD_19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54" s="23"/>
      </tp>
      <tp>
        <v>2.4578514249999999</v>
        <stp/>
        <stp>_x0011_USD_CURVE_OIS_29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4" s="23"/>
      </tp>
      <tp>
        <v>2.351109304</v>
        <stp/>
        <stp>_x0011_USD_CURVE_OIS_19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4" s="23"/>
      </tp>
    </main>
    <main first="pldatasource.rtgetrtdserver">
      <tp>
        <v>2.4516915319999999</v>
        <stp/>
        <stp>_x0011_USD_CURVE_OIS_28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3" s="23"/>
      </tp>
      <tp>
        <v>2.3316903139999998</v>
        <stp/>
        <stp>_x0011_USD_CURVE_OIS_18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3" s="23"/>
      </tp>
    </main>
    <main first="pldatasource.rtgetrtdserver">
      <tp>
        <v>2.5470207810000001</v>
        <stp/>
        <stp>_x0011_USD_CURVE_STD_18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53" s="23"/>
      </tp>
      <tp>
        <v>2.6669003020000002</v>
        <stp/>
        <stp>_x0011_USD_CURVE_STD_28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63" s="23"/>
      </tp>
      <tp>
        <v>2.5676457040000003</v>
        <stp/>
        <stp>_x0011_USD_CURVE_STD_19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54" s="23"/>
      </tp>
      <tp>
        <v>2.6734227270000002</v>
        <stp/>
        <stp>_x0011_USD_CURVE_STD_29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64" s="23"/>
      </tp>
      <tp>
        <v>2.3829112069999998</v>
        <stp/>
        <stp>_x0011_USD_CURVE_OIS_21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6" s="23"/>
      </tp>
      <tp>
        <v>2.0577027920000002</v>
        <stp/>
        <stp>_x0011_USD_CURVE_OIS_11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6" s="23"/>
      </tp>
      <tp>
        <v>0.36799999999999999</v>
        <stp/>
        <stp>_x0011_USD_CURVE_OIS_11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22" s="23"/>
      </tp>
      <tp>
        <v>2.4956622359999998</v>
        <stp/>
        <stp>_x0011_USD_CURVE_STD_16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51" s="23"/>
      </tp>
      <tp>
        <v>2.6524947829999999</v>
        <stp/>
        <stp>_x0011_USD_CURVE_STD_26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61" s="23"/>
      </tp>
      <tp>
        <v>2.4630000000000001</v>
        <stp/>
        <stp>_x0011_USD_CURVE_OIS_30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5" s="23"/>
      </tp>
      <tp>
        <v>2.3679999999999999</v>
        <stp/>
        <stp>_x0011_USD_CURVE_OIS_20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5" s="23"/>
      </tp>
      <tp>
        <v>1.9869999999999999</v>
        <stp/>
        <stp>_x0011_USD_CURVE_OIS_10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5" s="23"/>
      </tp>
      <tp>
        <v>2.4489038170000001</v>
        <stp/>
        <stp>_x0011_USD_CURVE_OIS_60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8" s="23"/>
      </tp>
      <tp>
        <v>2.4620000000000002</v>
        <stp/>
        <stp>_x0011_USD_CURVE_OIS_50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7" s="23"/>
      </tp>
      <tp>
        <v>2.4769999999999999</v>
        <stp/>
        <stp>_x0011_USD_CURVE_OIS_40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6" s="23"/>
      </tp>
      <tp>
        <v>0.34799999999999998</v>
        <stp/>
        <stp>_x0011_USD_CURVE_OIS_10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21" s="23"/>
      </tp>
      <tp>
        <v>2.5231596119999997</v>
        <stp/>
        <stp>_x0011_USD_CURVE_STD_17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52" s="23"/>
      </tp>
      <tp>
        <v>2.6602631880000001</v>
        <stp/>
        <stp>_x0011_USD_CURVE_STD_27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62" s="23"/>
      </tp>
      <tp>
        <v>2.4078070559999998</v>
        <stp/>
        <stp>_x0011_USD_CURVE_OIS_23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8" s="23"/>
      </tp>
      <tp>
        <v>2.1698543840000002</v>
        <stp/>
        <stp>_x0011_USD_CURVE_OIS_13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8" s="23"/>
      </tp>
      <tp>
        <v>2.4273178610000001</v>
        <stp/>
        <stp>_x0011_USD_CURVE_STD_14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49" s="23"/>
      </tp>
      <tp>
        <v>2.6338129889999999</v>
        <stp/>
        <stp>_x0011_USD_CURVE_STD_24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59" s="23"/>
      </tp>
      <tp>
        <v>2.3960666380000002</v>
        <stp/>
        <stp>_x0011_USD_CURVE_OIS_22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7" s="23"/>
      </tp>
      <tp>
        <v>2.1179999999999999</v>
        <stp/>
        <stp>_x0011_USD_CURVE_OIS_12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7" s="23"/>
      </tp>
    </main>
    <main first="pldatasource.rtgetrtdserver">
      <tp>
        <v>2.464</v>
        <stp/>
        <stp>_x0011_USD_CURVE_STD_15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50" s="23"/>
      </tp>
      <tp>
        <v>2.6429999999999998</v>
        <stp/>
        <stp>_x0011_USD_CURVE_STD_25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60" s="23"/>
      </tp>
      <tp>
        <v>2.4279999999999999</v>
        <stp/>
        <stp>_x0011_USD_CURVE_OIS_25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0" s="23"/>
      </tp>
      <tp>
        <v>2.2509999999999999</v>
        <stp/>
        <stp>_x0011_USD_CURVE_OIS_15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0" s="23"/>
      </tp>
      <tp>
        <v>2.3319999999999999</v>
        <stp/>
        <stp>_x0011_USD_CURVE_STD_12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47" s="23"/>
      </tp>
      <tp>
        <v>2.6131457139999998</v>
        <stp/>
        <stp>_x0011_USD_CURVE_STD_22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57" s="23"/>
      </tp>
      <tp>
        <v>2.4184355910000002</v>
        <stp/>
        <stp>_x0011_USD_CURVE_OIS_24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9" s="23"/>
      </tp>
      <tp>
        <v>2.2137161810000001</v>
        <stp/>
        <stp>_x0011_USD_CURVE_OIS_14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9" s="23"/>
      </tp>
      <tp>
        <v>2.384446107</v>
        <stp/>
        <stp>_x0011_USD_CURVE_STD_13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48" s="23"/>
      </tp>
      <tp>
        <v>2.6245639990000003</v>
        <stp/>
        <stp>_x0011_USD_CURVE_STD_23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58" s="23"/>
      </tp>
      <tp>
        <v>2.4446688170000002</v>
        <stp/>
        <stp>_x0011_USD_CURVE_OIS_27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2" s="23"/>
      </tp>
      <tp>
        <v>2.3089441229999998</v>
        <stp/>
        <stp>_x0011_USD_CURVE_OIS_17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2" s="23"/>
      </tp>
      <tp>
        <v>2.698</v>
        <stp/>
        <stp>_x0011_USD_CURVE_STD_40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66" s="23"/>
      </tp>
      <tp>
        <v>2.6819999999999999</v>
        <stp/>
        <stp>_x0011_USD_CURVE_STD_50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67" s="23"/>
      </tp>
      <tp>
        <v>2.6671848929999999</v>
        <stp/>
        <stp>_x0011_USD_CURVE_STD_60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68" s="23"/>
      </tp>
      <tp>
        <v>2.1989999999999998</v>
        <stp/>
        <stp>_x0011_USD_CURVE_STD_10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45" s="23"/>
      </tp>
      <tp>
        <v>2.585</v>
        <stp/>
        <stp>_x0011_USD_CURVE_STD_20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55" s="23"/>
      </tp>
      <tp>
        <v>2.6790000000000003</v>
        <stp/>
        <stp>_x0011_USD_CURVE_STD_30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65" s="23"/>
      </tp>
      <tp>
        <v>2.4367589500000002</v>
        <stp/>
        <stp>_x0011_USD_CURVE_OIS_26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1" s="23"/>
      </tp>
      <tp>
        <v>2.282355634</v>
        <stp/>
        <stp>_x0011_USD_CURVE_OIS_16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1" s="23"/>
      </tp>
    </main>
    <main first="pldatasource.rtgetrtdserver">
      <tp>
        <v>2.2717155469999999</v>
        <stp/>
        <stp>_x0011_USD_CURVE_STD_11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46" s="23"/>
      </tp>
      <tp>
        <v>2.599837682</v>
        <stp/>
        <stp>_x0011_USD_CURVE_STD_21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56" s="23"/>
      </tp>
      <tp>
        <v>2.8348543080000002</v>
        <stp/>
        <stp>_x0011_USD_CURVE_12M_21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6" s="7"/>
      </tp>
      <tp>
        <v>2.5113216679999999</v>
        <stp/>
        <stp>_x0011_USD_CURVE_12M_11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6" s="7"/>
      </tp>
      <tp>
        <v>2.9111644810000001</v>
        <stp/>
        <stp>_x0011_USD_CURVE_12M_30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5" s="7"/>
      </tp>
      <tp>
        <v>2.8221345869999999</v>
        <stp/>
        <stp>_x0011_USD_CURVE_12M_20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5" s="7"/>
      </tp>
      <tp>
        <v>2.4383392279999998</v>
        <stp/>
        <stp>_x0011_USD_CURVE_12M_10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5" s="7"/>
      </tp>
      <tp>
        <v>2.8994363519999999</v>
        <stp/>
        <stp>_x0011_USD_CURVE_12M_60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8" s="7"/>
      </tp>
      <tp>
        <v>2.91415749</v>
        <stp/>
        <stp>_x0011_USD_CURVE_12M_50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7" s="7"/>
      </tp>
      <tp>
        <v>2.9301724789999999</v>
        <stp/>
        <stp>_x0011_USD_CURVE_12M_40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6" s="7"/>
      </tp>
      <tp>
        <v>2.8558370599999998</v>
        <stp/>
        <stp>_x0011_USD_CURVE_12M_23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8" s="7"/>
      </tp>
      <tp>
        <v>2.6276140029999997</v>
        <stp/>
        <stp>_x0011_USD_CURVE_12M_13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8" s="7"/>
      </tp>
      <tp>
        <v>2.8459095890000001</v>
        <stp/>
        <stp>_x0011_USD_CURVE_12M_22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7" s="7"/>
      </tp>
      <tp>
        <v>2.5739698129999997</v>
        <stp/>
        <stp>_x0011_USD_CURVE_12M_12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7" s="7"/>
      </tp>
      <tp>
        <v>2.8738754279999998</v>
        <stp/>
        <stp>_x0011_USD_CURVE_12M_25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0" s="7"/>
      </tp>
      <tp>
        <v>2.7111257929999999</v>
        <stp/>
        <stp>_x0011_USD_CURVE_12M_15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0" s="7"/>
      </tp>
      <tp>
        <v>0.17240891999999999</v>
        <stp/>
        <stp>_x0012_USD_CURVE_DEP1M_2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" s="7"/>
      </tp>
      <tp>
        <v>0.276090532</v>
        <stp/>
        <stp>_x0012_USD_CURVE_DEP3M_2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" s="7"/>
      </tp>
      <tp>
        <v>0.52013689399999996</v>
        <stp/>
        <stp>_x0012_USD_CURVE_DEP6M_2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" s="7"/>
      </tp>
      <tp>
        <v>0.30910000000000004</v>
        <stp/>
        <stp>_x0012_USD_CURVE_DEP3M_2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3" s="7"/>
      </tp>
      <tp>
        <v>0.23245594600000002</v>
        <stp/>
        <stp>_x0012_USD_CURVE_DEP1M_2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3" s="7"/>
      </tp>
      <tp>
        <v>0.51059999999999994</v>
        <stp/>
        <stp>_x0012_USD_CURVE_DEP6M_2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3" s="7"/>
      </tp>
      <tp>
        <v>0.18624808099999998</v>
        <stp/>
        <stp>_x0012_USD_CURVE_DEP1M_3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" s="7"/>
      </tp>
      <tp>
        <v>0.27881708900000002</v>
        <stp/>
        <stp>_x0012_USD_CURVE_DEP3M_3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" s="7"/>
      </tp>
      <tp>
        <v>0.51936306899999996</v>
        <stp/>
        <stp>_x0012_USD_CURVE_DEP6M_3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1" s="7"/>
      </tp>
      <tp>
        <v>0.333971507</v>
        <stp/>
        <stp>_x0012_USD_CURVE_DEP3M_3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4" s="7"/>
      </tp>
      <tp>
        <v>0.25532698500000001</v>
        <stp/>
        <stp>_x0012_USD_CURVE_DEP1M_3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4" s="7"/>
      </tp>
      <tp>
        <v>0.50819999999999999</v>
        <stp/>
        <stp>_x0012_USD_CURVE_DEP6M_3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4" s="7"/>
      </tp>
      <tp>
        <v>0.15840000000000001</v>
        <stp/>
        <stp>_x0012_USD_CURVE_DEP1M_1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" s="7"/>
      </tp>
      <tp>
        <v>0.27445181000000002</v>
        <stp/>
        <stp>_x0012_USD_CURVE_DEP3M_1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" s="7"/>
      </tp>
      <tp>
        <v>0.52059057400000008</v>
        <stp/>
        <stp>_x0012_USD_CURVE_DEP6M_1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" s="7"/>
      </tp>
      <tp>
        <v>0.28602214100000001</v>
        <stp/>
        <stp>_x0012_USD_CURVE_DEP3M_1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2" s="7"/>
      </tp>
      <tp>
        <v>0.20522064699999998</v>
        <stp/>
        <stp>_x0012_USD_CURVE_DEP1M_1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2" s="7"/>
      </tp>
      <tp>
        <v>0.51729154099999997</v>
        <stp/>
        <stp>_x0012_USD_CURVE_DEP6M_1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2" s="7"/>
      </tp>
      <tp>
        <v>0.40238613499999998</v>
        <stp/>
        <stp>_x0012_USD_CURVE_DEP3M_6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7" s="7"/>
      </tp>
      <tp>
        <v>0.32019268900000003</v>
        <stp/>
        <stp>_x0012_USD_CURVE_DEP1M_6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7" s="7"/>
      </tp>
      <tp>
        <v>0.53800000000000003</v>
        <stp/>
        <stp>_x0012_USD_CURVE_DEP6M_6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7" s="7"/>
      </tp>
      <tp>
        <v>2.8650963699999998</v>
        <stp/>
        <stp>_x0011_USD_CURVE_12M_24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9" s="7"/>
      </tp>
      <tp>
        <v>2.6728974480000001</v>
        <stp/>
        <stp>_x0011_USD_CURVE_12M_14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9" s="7"/>
      </tp>
      <tp>
        <v>0.42335895000000001</v>
        <stp/>
        <stp>_x0012_USD_CURVE_DEP3M_7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8" s="7"/>
      </tp>
      <tp>
        <v>0.341699223</v>
        <stp/>
        <stp>_x0012_USD_CURVE_DEP1M_7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8" s="7"/>
      </tp>
      <tp>
        <v>0.55802425199999994</v>
        <stp/>
        <stp>_x0012_USD_CURVE_DEP6M_7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8" s="7"/>
      </tp>
      <tp>
        <v>0.36370843600000002</v>
        <stp/>
        <stp>_x0012_USD_CURVE_DEP3M_4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5" s="7"/>
      </tp>
      <tp>
        <v>0.27876628400000003</v>
        <stp/>
        <stp>_x0012_USD_CURVE_DEP1M_4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5" s="7"/>
      </tp>
      <tp>
        <v>0.51849999999999996</v>
        <stp/>
        <stp>_x0012_USD_CURVE_DEP6M_4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5" s="7"/>
      </tp>
      <tp>
        <v>0.38528369100000004</v>
        <stp/>
        <stp>_x0012_USD_CURVE_DEP3M_5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6" s="7"/>
      </tp>
      <tp>
        <v>0.30015054399999996</v>
        <stp/>
        <stp>_x0012_USD_CURVE_DEP1M_5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6" s="7"/>
      </tp>
      <tp>
        <v>0.52739999999999998</v>
        <stp/>
        <stp>_x0012_USD_CURVE_DEP6M_5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6" s="7"/>
      </tp>
      <tp>
        <v>0.44427413600000004</v>
        <stp/>
        <stp>_x0012_USD_CURVE_DEP3M_8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9" s="7"/>
      </tp>
      <tp>
        <v>0.36111506000000004</v>
        <stp/>
        <stp>_x0012_USD_CURVE_DEP1M_8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9" s="7"/>
      </tp>
      <tp>
        <v>0.58169491900000003</v>
        <stp/>
        <stp>_x0012_USD_CURVE_DEP6M_8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9" s="7"/>
      </tp>
      <tp>
        <v>0.46746359399999998</v>
        <stp/>
        <stp>_x0012_USD_CURVE_DEP3M_9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0" s="7"/>
      </tp>
      <tp>
        <v>0.38217336299999999</v>
        <stp/>
        <stp>_x0012_USD_CURVE_DEP1M_9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0" s="7"/>
      </tp>
      <tp>
        <v>0.59945107499999994</v>
        <stp/>
        <stp>_x0012_USD_CURVE_DEP6M_9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20" s="7"/>
      </tp>
      <tp>
        <v>2.890697254</v>
        <stp/>
        <stp>_x0011_USD_CURVE_12M_27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2" s="7"/>
      </tp>
      <tp>
        <v>2.768290935</v>
        <stp/>
        <stp>_x0011_USD_CURVE_12M_17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2" s="7"/>
      </tp>
      <tp>
        <v>0.58169491900000003</v>
        <stp/>
        <stp>_x0012_USD_CURVE_DEP6M_8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9" s="7"/>
      </tp>
      <tp>
        <v>0.36111506000000004</v>
        <stp/>
        <stp>_x0012_USD_CURVE_DEP1M_8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9" s="7"/>
      </tp>
      <tp>
        <v>0.44427413600000004</v>
        <stp/>
        <stp>_x0012_USD_CURVE_DEP3M_8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9" s="7"/>
      </tp>
      <tp>
        <v>0.59945107499999994</v>
        <stp/>
        <stp>_x0012_USD_CURVE_DEP6M_9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20" s="7"/>
      </tp>
      <tp>
        <v>0.38217336299999999</v>
        <stp/>
        <stp>_x0012_USD_CURVE_DEP1M_9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0" s="7"/>
      </tp>
      <tp>
        <v>0.46746359399999998</v>
        <stp/>
        <stp>_x0012_USD_CURVE_DEP3M_9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0" s="7"/>
      </tp>
      <tp>
        <v>0.52059057400000008</v>
        <stp/>
        <stp>_x0012_USD_CURVE_DEP6M_1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" s="7"/>
      </tp>
      <tp>
        <v>0.27445181000000002</v>
        <stp/>
        <stp>_x0012_USD_CURVE_DEP3M_1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" s="7"/>
      </tp>
      <tp>
        <v>0.15840000000000001</v>
        <stp/>
        <stp>_x0012_USD_CURVE_DEP1M_1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" s="7"/>
      </tp>
      <tp>
        <v>0.51729154099999997</v>
        <stp/>
        <stp>_x0012_USD_CURVE_DEP6M_1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2" s="7"/>
      </tp>
      <tp>
        <v>0.20522064699999998</v>
        <stp/>
        <stp>_x0012_USD_CURVE_DEP1M_1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2" s="7"/>
      </tp>
      <tp>
        <v>0.28602214100000001</v>
        <stp/>
        <stp>_x0012_USD_CURVE_DEP3M_1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2" s="7"/>
      </tp>
      <tp>
        <v>0.52013689399999996</v>
        <stp/>
        <stp>_x0012_USD_CURVE_DEP6M_2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0" s="7"/>
      </tp>
      <tp>
        <v>0.276090532</v>
        <stp/>
        <stp>_x0012_USD_CURVE_DEP3M_2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" s="7"/>
      </tp>
      <tp>
        <v>0.17240891999999999</v>
        <stp/>
        <stp>_x0012_USD_CURVE_DEP1M_2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" s="7"/>
      </tp>
      <tp>
        <v>0.51059999999999994</v>
        <stp/>
        <stp>_x0012_USD_CURVE_DEP6M_2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3" s="7"/>
      </tp>
      <tp>
        <v>0.23245594600000002</v>
        <stp/>
        <stp>_x0012_USD_CURVE_DEP1M_2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3" s="7"/>
      </tp>
      <tp>
        <v>0.30910000000000004</v>
        <stp/>
        <stp>_x0012_USD_CURVE_DEP3M_2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3" s="7"/>
      </tp>
      <tp>
        <v>0.51936306899999996</v>
        <stp/>
        <stp>_x0012_USD_CURVE_DEP6M_3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1" s="7"/>
      </tp>
      <tp>
        <v>0.27881708900000002</v>
        <stp/>
        <stp>_x0012_USD_CURVE_DEP3M_3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" s="7"/>
      </tp>
      <tp>
        <v>0.18624808099999998</v>
        <stp/>
        <stp>_x0012_USD_CURVE_DEP1M_3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" s="7"/>
      </tp>
      <tp>
        <v>0.50819999999999999</v>
        <stp/>
        <stp>_x0012_USD_CURVE_DEP6M_3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4" s="7"/>
      </tp>
      <tp>
        <v>0.25532698500000001</v>
        <stp/>
        <stp>_x0012_USD_CURVE_DEP1M_3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4" s="7"/>
      </tp>
      <tp>
        <v>0.333971507</v>
        <stp/>
        <stp>_x0012_USD_CURVE_DEP3M_3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4" s="7"/>
      </tp>
      <tp>
        <v>0.51849999999999996</v>
        <stp/>
        <stp>_x0012_USD_CURVE_DEP6M_4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5" s="7"/>
      </tp>
      <tp>
        <v>0.27876628400000003</v>
        <stp/>
        <stp>_x0012_USD_CURVE_DEP1M_4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5" s="7"/>
      </tp>
      <tp>
        <v>0.36370843600000002</v>
        <stp/>
        <stp>_x0012_USD_CURVE_DEP3M_4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5" s="7"/>
      </tp>
      <tp>
        <v>0.52739999999999998</v>
        <stp/>
        <stp>_x0012_USD_CURVE_DEP6M_5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6" s="7"/>
      </tp>
      <tp>
        <v>0.30015054399999996</v>
        <stp/>
        <stp>_x0012_USD_CURVE_DEP1M_5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6" s="7"/>
      </tp>
      <tp>
        <v>0.38528369100000004</v>
        <stp/>
        <stp>_x0012_USD_CURVE_DEP3M_5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6" s="7"/>
      </tp>
      <tp>
        <v>0.53800000000000003</v>
        <stp/>
        <stp>_x0012_USD_CURVE_DEP6M_6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7" s="7"/>
      </tp>
      <tp>
        <v>0.32019268900000003</v>
        <stp/>
        <stp>_x0012_USD_CURVE_DEP1M_6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7" s="7"/>
      </tp>
      <tp>
        <v>0.40238613499999998</v>
        <stp/>
        <stp>_x0012_USD_CURVE_DEP3M_6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7" s="7"/>
      </tp>
      <tp>
        <v>0.55802425199999994</v>
        <stp/>
        <stp>_x0012_USD_CURVE_DEP6M_7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8" s="7"/>
      </tp>
      <tp>
        <v>0.341699223</v>
        <stp/>
        <stp>_x0012_USD_CURVE_DEP1M_7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8" s="7"/>
      </tp>
      <tp>
        <v>0.42335895000000001</v>
        <stp/>
        <stp>_x0012_USD_CURVE_DEP3M_7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8" s="7"/>
      </tp>
      <tp>
        <v>2.882474926</v>
        <stp/>
        <stp>_x0011_USD_CURVE_12M_26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1" s="7"/>
      </tp>
      <tp>
        <v>2.7424959590000002</v>
        <stp/>
        <stp>_x0011_USD_CURVE_12M_16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1" s="7"/>
      </tp>
      <tp>
        <v>2.905247541</v>
        <stp/>
        <stp>_x0011_USD_CURVE_12M_29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4" s="7"/>
      </tp>
      <tp>
        <v>2.8072936259999999</v>
        <stp/>
        <stp>_x0011_USD_CURVE_12M_19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4" s="7"/>
      </tp>
      <tp>
        <v>2.8983267270000002</v>
        <stp/>
        <stp>_x0011_USD_CURVE_12M_28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3" s="7"/>
      </tp>
      <tp>
        <v>2.789655792</v>
        <stp/>
        <stp>_x0011_USD_CURVE_12M_18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3" s="7"/>
      </tp>
      <tp>
        <v>0.32425957099999997</v>
        <stp/>
        <stp>_x0019_USD_CURVE_DEP1M_#20160316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4" s="7"/>
      </tp>
      <tp>
        <v>0.40606999500000002</v>
        <stp/>
        <stp>_x0019_USD_CURVE_DEP3M_#20160316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4" s="7"/>
      </tp>
      <tp>
        <v>0.54097662599999996</v>
        <stp/>
        <stp>_x0019_USD_CURVE_DEP6M_#20160316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24" s="7"/>
      </tp>
    </main>
    <main first="pldatasource.rtgetrtdserver">
      <tp>
        <v>0.32425957099999997</v>
        <stp/>
        <stp>_x0019_USD_CURVE_DEP1M_#20160316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4" s="7"/>
      </tp>
      <tp>
        <v>0.40606999500000002</v>
        <stp/>
        <stp>_x0019_USD_CURVE_DEP3M_#20160316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4" s="7"/>
      </tp>
      <tp>
        <v>0.54097662599999996</v>
        <stp/>
        <stp>_x0019_USD_CURVE_DEP6M_#20160316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24" s="7"/>
      </tp>
      <tp>
        <v>2.8072936259999999</v>
        <stp/>
        <stp>_x0011_USD_CURVE_12M_19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4" s="7"/>
      </tp>
      <tp>
        <v>2.905247541</v>
        <stp/>
        <stp>_x0011_USD_CURVE_12M_29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4" s="7"/>
      </tp>
    </main>
    <main first="pldatasource.rtgetrtdserver">
      <tp>
        <v>2.789655792</v>
        <stp/>
        <stp>_x0011_USD_CURVE_12M_18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3" s="7"/>
      </tp>
      <tp>
        <v>2.8983267270000002</v>
        <stp/>
        <stp>_x0011_USD_CURVE_12M_28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3" s="7"/>
      </tp>
      <tp>
        <v>2.2564375220000001</v>
        <stp/>
        <stp>_x0010_USD_CURVE_12M_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3" s="7"/>
      </tp>
      <tp>
        <v>2.355268481</v>
        <stp/>
        <stp>_x0010_USD_CURVE_12M_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4" s="7"/>
      </tp>
      <tp>
        <v>1.9909820899999999</v>
        <stp/>
        <stp>_x0010_USD_CURVE_12M_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1" s="7"/>
      </tp>
      <tp>
        <v>2.136852352</v>
        <stp/>
        <stp>_x0010_USD_CURVE_12M_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2" s="7"/>
      </tp>
      <tp>
        <v>1.6139265780000001</v>
        <stp/>
        <stp>_x0010_USD_CURVE_12M_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39" s="7"/>
      </tp>
      <tp>
        <v>1.8163417159999999</v>
        <stp/>
        <stp>_x0010_USD_CURVE_12M_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0" s="7"/>
      </tp>
      <tp>
        <v>1.1287174129999999</v>
        <stp/>
        <stp>_x0010_USD_CURVE_12M_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37" s="7"/>
      </tp>
      <tp>
        <v>1.3802466369999999</v>
        <stp/>
        <stp>_x0010_USD_CURVE_12M_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38" s="7"/>
      </tp>
      <tp>
        <v>0.85680000000000001</v>
        <stp/>
        <stp>_x0010_USD_CURVE_12M_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33" s="7"/>
      </tp>
    </main>
    <main first="pldatasource.rtgetrtdserver">
      <tp>
        <v>99.656295540000002</v>
        <stp/>
        <stp>_x0012_USD_CURVE_FUT3M_U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5" s="7"/>
      </tp>
      <tp>
        <v>99.169528451000005</v>
        <stp/>
        <stp>_x0012_USD_CURVE_FUT1M_U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9" s="7"/>
      </tp>
      <tp>
        <v>99.733459038999996</v>
        <stp/>
        <stp>_x0012_USD_CURVE_FUT1M_U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5" s="7"/>
      </tp>
      <tp>
        <v>99.068700958999997</v>
        <stp/>
        <stp>_x0012_USD_CURVE_FUT3M_U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9" s="7"/>
      </tp>
      <tp>
        <v>99.491214412999994</v>
        <stp/>
        <stp>_x0012_USD_CURVE_FUT6M_U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25" s="7"/>
      </tp>
      <tp>
        <v>98.970514684999998</v>
        <stp/>
        <stp>_x0012_USD_CURVE_FUT6M_U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29" s="7"/>
      </tp>
      <tp>
        <v>99.523328427999999</v>
        <stp/>
        <stp>_x0012_USD_CURVE_FUT3M_Z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6" s="7"/>
      </tp>
      <tp>
        <v>99.011480837999997</v>
        <stp/>
        <stp>_x0012_USD_CURVE_FUT1M_Z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0" s="7"/>
      </tp>
      <tp>
        <v>99.607265390999999</v>
        <stp/>
        <stp>_x0012_USD_CURVE_FUT1M_Z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6" s="7"/>
      </tp>
      <tp>
        <v>98.891348733000001</v>
        <stp/>
        <stp>_x0012_USD_CURVE_FUT3M_Z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0" s="7"/>
      </tp>
      <tp>
        <v>99.426322545999994</v>
        <stp/>
        <stp>_x0012_USD_CURVE_FUT6M_Z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26" s="7"/>
      </tp>
      <tp>
        <v>98.847274776000006</v>
        <stp/>
        <stp>_x0012_USD_CURVE_FUT6M_Z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0" s="7"/>
      </tp>
      <tp>
        <v>98.729727859999997</v>
        <stp/>
        <stp>_x0012_USD_CURVE_FUT1M_M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2" s="7"/>
      </tp>
      <tp>
        <v>99.346612299</v>
        <stp/>
        <stp>_x0012_USD_CURVE_FUT1M_M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8" s="7"/>
      </tp>
      <tp>
        <v>98.593067008999995</v>
        <stp/>
        <stp>_x0012_USD_CURVE_FUT3M_M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2" s="7"/>
      </tp>
      <tp>
        <v>99.246338958999999</v>
        <stp/>
        <stp>_x0012_USD_CURVE_FUT3M_M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8" s="7"/>
      </tp>
      <tp>
        <v>99.175135334999993</v>
        <stp/>
        <stp>_x0012_USD_CURVE_FUT6M_M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28" s="7"/>
      </tp>
      <tp>
        <v>98.505390395000006</v>
        <stp/>
        <stp>_x0012_USD_CURVE_FUT6M_M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2" s="7"/>
      </tp>
      <tp>
        <v>98.874306071999996</v>
        <stp/>
        <stp>_x0012_USD_CURVE_FUT1M_H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1" s="7"/>
      </tp>
      <tp>
        <v>99.487768470999995</v>
        <stp/>
        <stp>_x0012_USD_CURVE_FUT1M_H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7" s="7"/>
      </tp>
      <tp>
        <v>98.739265701999997</v>
        <stp/>
        <stp>_x0012_USD_CURVE_FUT3M_H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1" s="7"/>
      </tp>
      <tp>
        <v>99.394602003000003</v>
        <stp/>
        <stp>_x0012_USD_CURVE_FUT3M_H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7" s="7"/>
      </tp>
      <tp>
        <v>99.272800783999998</v>
        <stp/>
        <stp>_x0012_USD_CURVE_FUT6M_H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27" s="7"/>
      </tp>
      <tp>
        <v>98.633940455000001</v>
        <stp/>
        <stp>_x0012_USD_CURVE_FUT6M_H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1" s="7"/>
      </tp>
    </main>
    <main first="pldatasource.rtgetrtdserver">
      <tp>
        <v>98.505390395000006</v>
        <stp/>
        <stp>_x0012_USD_CURVE_FUT6M_M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32" s="7"/>
      </tp>
      <tp>
        <v>99.175135334999993</v>
        <stp/>
        <stp>_x0012_USD_CURVE_FUT6M_M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28" s="7"/>
      </tp>
      <tp>
        <v>99.246338958999999</v>
        <stp/>
        <stp>_x0012_USD_CURVE_FUT3M_M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8" s="7"/>
      </tp>
      <tp>
        <v>98.593067008999995</v>
        <stp/>
        <stp>_x0012_USD_CURVE_FUT3M_M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2" s="7"/>
      </tp>
      <tp>
        <v>99.346612299</v>
        <stp/>
        <stp>_x0012_USD_CURVE_FUT1M_M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8" s="7"/>
      </tp>
      <tp>
        <v>98.729727859999997</v>
        <stp/>
        <stp>_x0012_USD_CURVE_FUT1M_M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2" s="7"/>
      </tp>
      <tp>
        <v>98.633940455000001</v>
        <stp/>
        <stp>_x0012_USD_CURVE_FUT6M_H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31" s="7"/>
      </tp>
      <tp>
        <v>99.272800783999998</v>
        <stp/>
        <stp>_x0012_USD_CURVE_FUT6M_H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27" s="7"/>
      </tp>
      <tp>
        <v>99.394602003000003</v>
        <stp/>
        <stp>_x0012_USD_CURVE_FUT3M_H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7" s="7"/>
      </tp>
      <tp>
        <v>98.739265701999997</v>
        <stp/>
        <stp>_x0012_USD_CURVE_FUT3M_H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1" s="7"/>
      </tp>
      <tp>
        <v>99.487768470999995</v>
        <stp/>
        <stp>_x0012_USD_CURVE_FUT1M_H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7" s="7"/>
      </tp>
      <tp>
        <v>98.874306071999996</v>
        <stp/>
        <stp>_x0012_USD_CURVE_FUT1M_H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1" s="7"/>
      </tp>
      <tp>
        <v>98.847274776000006</v>
        <stp/>
        <stp>_x0012_USD_CURVE_FUT6M_Z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30" s="7"/>
      </tp>
      <tp>
        <v>99.426322545999994</v>
        <stp/>
        <stp>_x0012_USD_CURVE_FUT6M_Z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26" s="7"/>
      </tp>
      <tp>
        <v>98.891348733000001</v>
        <stp/>
        <stp>_x0012_USD_CURVE_FUT3M_Z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0" s="7"/>
      </tp>
      <tp>
        <v>99.607265390999999</v>
        <stp/>
        <stp>_x0012_USD_CURVE_FUT1M_Z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6" s="7"/>
      </tp>
      <tp>
        <v>99.011480837999997</v>
        <stp/>
        <stp>_x0012_USD_CURVE_FUT1M_Z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0" s="7"/>
      </tp>
      <tp>
        <v>99.523328427999999</v>
        <stp/>
        <stp>_x0012_USD_CURVE_FUT3M_Z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6" s="7"/>
      </tp>
      <tp>
        <v>98.970514684999998</v>
        <stp/>
        <stp>_x0012_USD_CURVE_FUT6M_U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29" s="7"/>
      </tp>
      <tp>
        <v>99.491214412999994</v>
        <stp/>
        <stp>_x0012_USD_CURVE_FUT6M_U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25" s="7"/>
      </tp>
      <tp>
        <v>99.068700958999997</v>
        <stp/>
        <stp>_x0012_USD_CURVE_FUT3M_U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9" s="7"/>
      </tp>
      <tp>
        <v>99.733459038999996</v>
        <stp/>
        <stp>_x0012_USD_CURVE_FUT1M_U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5" s="7"/>
      </tp>
      <tp>
        <v>99.169528451000005</v>
        <stp/>
        <stp>_x0012_USD_CURVE_FUT1M_U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9" s="7"/>
      </tp>
      <tp>
        <v>99.656295540000002</v>
        <stp/>
        <stp>_x0012_USD_CURVE_FUT3M_U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5" s="7"/>
      </tp>
    </main>
    <main first="pldatasource.rtgetrtdserver">
      <tp>
        <v>2.6276140029999997</v>
        <stp/>
        <stp>_x0011_USD_CURVE_12M_13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8" s="7"/>
      </tp>
      <tp>
        <v>2.8558370599999998</v>
        <stp/>
        <stp>_x0011_USD_CURVE_12M_23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8" s="7"/>
      </tp>
    </main>
    <main first="pldatasource.rtgetrtdserver">
      <tp>
        <v>2.5739698129999997</v>
        <stp/>
        <stp>_x0011_USD_CURVE_12M_12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7" s="7"/>
      </tp>
      <tp>
        <v>2.8459095890000001</v>
        <stp/>
        <stp>_x0011_USD_CURVE_12M_22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7" s="7"/>
      </tp>
    </main>
    <main first="pldatasource.rtgetrtdserver">
      <tp>
        <v>2.5113216679999999</v>
        <stp/>
        <stp>_x0011_USD_CURVE_12M_11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6" s="7"/>
      </tp>
      <tp>
        <v>2.8348543080000002</v>
        <stp/>
        <stp>_x0011_USD_CURVE_12M_21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6" s="7"/>
      </tp>
      <tp>
        <v>2.4383392279999998</v>
        <stp/>
        <stp>_x0011_USD_CURVE_12M_10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5" s="7"/>
      </tp>
      <tp>
        <v>2.8221345869999999</v>
        <stp/>
        <stp>_x0011_USD_CURVE_12M_20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5" s="7"/>
      </tp>
      <tp>
        <v>2.9111644810000001</v>
        <stp/>
        <stp>_x0011_USD_CURVE_12M_30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5" s="7"/>
      </tp>
      <tp>
        <v>2.9301724789999999</v>
        <stp/>
        <stp>_x0011_USD_CURVE_12M_40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6" s="7"/>
      </tp>
      <tp>
        <v>2.91415749</v>
        <stp/>
        <stp>_x0011_USD_CURVE_12M_50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7" s="7"/>
      </tp>
      <tp>
        <v>2.8994363519999999</v>
        <stp/>
        <stp>_x0011_USD_CURVE_12M_60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8" s="7"/>
      </tp>
    </main>
    <main first="pldatasource.rtgetrtdserver">
      <tp>
        <v>1.6139265780000001</v>
        <stp/>
        <stp>_x0010_USD_CURVE_12M_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39" s="7"/>
      </tp>
      <tp>
        <v>1.8163417159999999</v>
        <stp/>
        <stp>_x0010_USD_CURVE_12M_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0" s="7"/>
      </tp>
      <tp>
        <v>1.9909820899999999</v>
        <stp/>
        <stp>_x0010_USD_CURVE_12M_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1" s="7"/>
      </tp>
      <tp>
        <v>2.136852352</v>
        <stp/>
        <stp>_x0010_USD_CURVE_12M_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2" s="7"/>
      </tp>
      <tp>
        <v>0.85680000000000001</v>
        <stp/>
        <stp>_x0010_USD_CURVE_12M_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33" s="7"/>
      </tp>
      <tp>
        <v>1.1287174129999999</v>
        <stp/>
        <stp>_x0010_USD_CURVE_12M_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37" s="7"/>
      </tp>
      <tp>
        <v>1.3802466369999999</v>
        <stp/>
        <stp>_x0010_USD_CURVE_12M_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38" s="7"/>
      </tp>
      <tp>
        <v>2.2564375220000001</v>
        <stp/>
        <stp>_x0010_USD_CURVE_12M_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3" s="7"/>
      </tp>
      <tp>
        <v>2.355268481</v>
        <stp/>
        <stp>_x0010_USD_CURVE_12M_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4" s="7"/>
      </tp>
      <tp>
        <v>2.768290935</v>
        <stp/>
        <stp>_x0011_USD_CURVE_12M_17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2" s="7"/>
      </tp>
      <tp>
        <v>2.890697254</v>
        <stp/>
        <stp>_x0011_USD_CURVE_12M_27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2" s="7"/>
      </tp>
    </main>
    <main first="pldatasource.rtgetrtdserver">
      <tp>
        <v>0.86345507500000007</v>
        <stp/>
        <stp>_x001A_USD_CURVE_DEP12M_#20160316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24" s="7"/>
      </tp>
      <tp>
        <v>2.7424959590000002</v>
        <stp/>
        <stp>_x0011_USD_CURVE_12M_16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1" s="7"/>
      </tp>
      <tp>
        <v>2.882474926</v>
        <stp/>
        <stp>_x0011_USD_CURVE_12M_26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1" s="7"/>
      </tp>
    </main>
    <main first="pldatasource.rtgetrtdserver">
      <tp>
        <v>2.7111257929999999</v>
        <stp/>
        <stp>_x0011_USD_CURVE_12M_15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0" s="7"/>
      </tp>
      <tp>
        <v>2.8738754279999998</v>
        <stp/>
        <stp>_x0011_USD_CURVE_12M_25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0" s="7"/>
      </tp>
      <tp>
        <v>2.6728974480000001</v>
        <stp/>
        <stp>_x0011_USD_CURVE_12M_14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9" s="7"/>
      </tp>
      <tp>
        <v>2.8650963699999998</v>
        <stp/>
        <stp>_x0011_USD_CURVE_12M_24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9" s="7"/>
      </tp>
      <tp>
        <v>0.86345507500000007</v>
        <stp/>
        <stp>_x001A_USD_CURVE_DEP12M_#20160316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24" s="7"/>
      </tp>
      <tp>
        <v>0.34799999999999998</v>
        <stp/>
        <stp>_x0011_USD_CURVE_OIS_10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21" s="7"/>
      </tp>
      <tp>
        <v>2.4489038170000001</v>
        <stp/>
        <stp>_x0011_USD_CURVE_OIS_60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8" s="7"/>
      </tp>
      <tp>
        <v>2.4769999999999999</v>
        <stp/>
        <stp>_x0011_USD_CURVE_OIS_40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6" s="7"/>
      </tp>
      <tp>
        <v>2.4620000000000002</v>
        <stp/>
        <stp>_x0011_USD_CURVE_OIS_50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7" s="7"/>
      </tp>
      <tp>
        <v>2.3679999999999999</v>
        <stp/>
        <stp>_x0011_USD_CURVE_OIS_20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5" s="7"/>
      </tp>
      <tp>
        <v>2.4630000000000001</v>
        <stp/>
        <stp>_x0011_USD_CURVE_OIS_30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5" s="7"/>
      </tp>
      <tp>
        <v>1.9869999999999999</v>
        <stp/>
        <stp>_x0011_USD_CURVE_OIS_10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5" s="7"/>
      </tp>
      <tp>
        <v>1.796</v>
        <stp/>
        <stp>_x0010_USD_CURVE_OIS_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3" s="7"/>
      </tp>
      <tp>
        <v>1.9019999999999999</v>
        <stp/>
        <stp>_x0010_USD_CURVE_OIS_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4" s="7"/>
      </tp>
      <tp>
        <v>0.66300000000000003</v>
        <stp/>
        <stp>_x0010_USD_CURVE_OIS_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37" s="7"/>
      </tp>
      <tp>
        <v>0.92100000000000004</v>
        <stp/>
        <stp>_x0010_USD_CURVE_OIS_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38" s="7"/>
      </tp>
      <tp>
        <v>0.39</v>
        <stp/>
        <stp>_x0010_USD_CURVE_OIS_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23" s="7"/>
      </tp>
      <tp>
        <v>1.5289999999999999</v>
        <stp/>
        <stp>_x0010_USD_CURVE_OIS_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1" s="7"/>
      </tp>
      <tp>
        <v>1.6759999999999999</v>
        <stp/>
        <stp>_x0010_USD_CURVE_OIS_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2" s="7"/>
      </tp>
      <tp>
        <v>1.1499999999999999</v>
        <stp/>
        <stp>_x0010_USD_CURVE_OIS_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39" s="7"/>
      </tp>
      <tp>
        <v>1.353</v>
        <stp/>
        <stp>_x0010_USD_CURVE_OIS_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0" s="7"/>
      </tp>
      <tp>
        <v>0.59400000000000008</v>
        <stp/>
        <stp>_x0011_USD_CURVE_OIS_21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36" s="7"/>
      </tp>
      <tp>
        <v>0.36799999999999999</v>
        <stp/>
        <stp>_x0011_USD_CURVE_OIS_11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22" s="7"/>
      </tp>
      <tp>
        <v>2.3829112069999998</v>
        <stp/>
        <stp>_x0011_USD_CURVE_OIS_21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6" s="7"/>
      </tp>
      <tp>
        <v>2.0577027920000002</v>
        <stp/>
        <stp>_x0011_USD_CURVE_OIS_11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6" s="7"/>
      </tp>
      <tp>
        <v>0.15</v>
        <stp/>
        <stp>_x0010_USD_CURVE_OIS_1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9" s="7"/>
      </tp>
      <tp>
        <v>0.17099999999999999</v>
        <stp/>
        <stp>_x0010_USD_CURVE_OIS_2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0" s="7"/>
      </tp>
      <tp>
        <v>0.17800000099999999</v>
        <stp/>
        <stp>_x0010_USD_CURVE_OIS_3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1" s="7"/>
      </tp>
      <tp>
        <v>2.3960666380000002</v>
        <stp/>
        <stp>_x0011_USD_CURVE_OIS_22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7" s="7"/>
      </tp>
      <tp>
        <v>2.1179999999999999</v>
        <stp/>
        <stp>_x0011_USD_CURVE_OIS_12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7" s="7"/>
      </tp>
      <tp>
        <v>2.4078070559999998</v>
        <stp/>
        <stp>_x0011_USD_CURVE_OIS_23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8" s="7"/>
      </tp>
      <tp>
        <v>2.1698543840000002</v>
        <stp/>
        <stp>_x0011_USD_CURVE_OIS_13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8" s="7"/>
      </tp>
    </main>
    <main first="pldatasource.rtgetrtdserver">
      <tp>
        <v>2.4184355910000002</v>
        <stp/>
        <stp>_x0011_USD_CURVE_OIS_24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9" s="7"/>
      </tp>
      <tp>
        <v>2.2137161810000001</v>
        <stp/>
        <stp>_x0011_USD_CURVE_OIS_14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9" s="7"/>
      </tp>
    </main>
    <main first="pldatasource.rtgetrtdserver">
      <tp>
        <v>2.7799410789999999</v>
        <stp/>
        <stp>_x0010_USD_CURVE_6M_30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5" s="7"/>
      </tp>
      <tp>
        <v>2.5707702020000003</v>
        <stp/>
        <stp>_x0010_USD_CURVE_1M_30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5" s="7"/>
      </tp>
      <tp>
        <v>2.6790000000000003</v>
        <stp/>
        <stp>_x0010_USD_CURVE_3M_30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5" s="7"/>
      </tp>
      <tp>
        <v>2.5279923540000002</v>
        <stp/>
        <stp>_x0010_USD_CURVE_1M_24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9" s="7"/>
      </tp>
      <tp>
        <v>2.6516042959999999</v>
        <stp/>
        <stp>_x0010_USD_CURVE_3M_26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1" s="7"/>
      </tp>
      <tp>
        <v>2.7243180759999999</v>
        <stp/>
        <stp>_x0010_USD_CURVE_6M_23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8" s="7"/>
      </tp>
      <tp>
        <v>2.5368087450000001</v>
        <stp/>
        <stp>_x0010_USD_CURVE_1M_25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0" s="7"/>
      </tp>
      <tp>
        <v>2.6595761009999999</v>
        <stp/>
        <stp>_x0010_USD_CURVE_3M_27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2" s="7"/>
      </tp>
      <tp>
        <v>2.7129028850000001</v>
        <stp/>
        <stp>_x0010_USD_CURVE_6M_22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7" s="7"/>
      </tp>
      <tp>
        <v>2.5449873859999999</v>
        <stp/>
        <stp>_x0010_USD_CURVE_1M_26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1" s="7"/>
      </tp>
      <tp>
        <v>2.633829451</v>
        <stp/>
        <stp>_x0010_USD_CURVE_3M_24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9" s="7"/>
      </tp>
      <tp>
        <v>2.6999307510000001</v>
        <stp/>
        <stp>_x0010_USD_CURVE_6M_21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6" s="7"/>
      </tp>
      <tp>
        <v>2.5525003699999997</v>
        <stp/>
        <stp>_x0010_USD_CURVE_1M_27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2" s="7"/>
      </tp>
      <tp>
        <v>2.6429999999999998</v>
        <stp/>
        <stp>_x0010_USD_CURVE_3M_25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0" s="7"/>
      </tp>
      <tp>
        <v>2.6848992520000001</v>
        <stp/>
        <stp>_x0010_USD_CURVE_6M_20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5" s="7"/>
      </tp>
      <tp>
        <v>2.4808579869999998</v>
        <stp/>
        <stp>_x0010_USD_CURVE_1M_20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5" s="7"/>
      </tp>
      <tp>
        <v>2.6125807509999999</v>
        <stp/>
        <stp>_x0010_USD_CURVE_3M_22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7" s="7"/>
      </tp>
      <tp>
        <v>2.760594856</v>
        <stp/>
        <stp>_x0010_USD_CURVE_6M_27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2" s="7"/>
      </tp>
      <tp>
        <v>2.4950916009999999</v>
        <stp/>
        <stp>_x0010_USD_CURVE_1M_21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6" s="7"/>
      </tp>
      <tp>
        <v>2.6237527050000002</v>
        <stp/>
        <stp>_x0010_USD_CURVE_3M_23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8" s="7"/>
      </tp>
      <tp>
        <v>2.7526071400000003</v>
        <stp/>
        <stp>_x0010_USD_CURVE_6M_26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1" s="7"/>
      </tp>
      <tp>
        <v>2.5073981540000001</v>
        <stp/>
        <stp>_x0010_USD_CURVE_1M_22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7" s="7"/>
      </tp>
      <tp>
        <v>2.585</v>
        <stp/>
        <stp>_x0010_USD_CURVE_3M_20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5" s="7"/>
      </tp>
      <tp>
        <v>2.743929149</v>
        <stp/>
        <stp>_x0010_USD_CURVE_6M_25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0" s="7"/>
      </tp>
      <tp>
        <v>2.5182339469999997</v>
        <stp/>
        <stp>_x0010_USD_CURVE_1M_23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8" s="7"/>
      </tp>
      <tp>
        <v>2.5998457669999997</v>
        <stp/>
        <stp>_x0010_USD_CURVE_3M_21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6" s="7"/>
      </tp>
      <tp>
        <v>2.7346085100000002</v>
        <stp/>
        <stp>_x0010_USD_CURVE_6M_24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9" s="7"/>
      </tp>
      <tp>
        <v>2.7743417159999999</v>
        <stp/>
        <stp>_x0010_USD_CURVE_6M_29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4" s="7"/>
      </tp>
      <tp>
        <v>2.7678354619999999</v>
        <stp/>
        <stp>_x0010_USD_CURVE_6M_28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3" s="7"/>
      </tp>
      <tp>
        <v>2.5593129279999998</v>
        <stp/>
        <stp>_x0010_USD_CURVE_1M_28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3" s="7"/>
      </tp>
      <tp>
        <v>2.5654523659999997</v>
        <stp/>
        <stp>_x0010_USD_CURVE_1M_29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4" s="7"/>
      </tp>
      <tp>
        <v>2.6668346070000002</v>
        <stp/>
        <stp>_x0010_USD_CURVE_3M_28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3" s="7"/>
      </tp>
      <tp>
        <v>2.6733721639999999</v>
        <stp/>
        <stp>_x0010_USD_CURVE_3M_29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4" s="7"/>
      </tp>
      <tp>
        <v>2.3265423730000001</v>
        <stp/>
        <stp>_x0010_USD_CURVE_1M_14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9" s="7"/>
      </tp>
      <tp>
        <v>2.495884432</v>
        <stp/>
        <stp>_x0010_USD_CURVE_3M_16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1" s="7"/>
      </tp>
      <tp>
        <v>2.480214937</v>
        <stp/>
        <stp>_x0010_USD_CURVE_6M_13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8" s="7"/>
      </tp>
      <tp>
        <v>2.3639521640000001</v>
        <stp/>
        <stp>_x0010_USD_CURVE_1M_15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0" s="7"/>
      </tp>
      <tp>
        <v>2.5234818020000001</v>
        <stp/>
        <stp>_x0010_USD_CURVE_3M_17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2" s="7"/>
      </tp>
      <tp>
        <v>2.42677151</v>
        <stp/>
        <stp>_x0010_USD_CURVE_6M_12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7" s="7"/>
      </tp>
      <tp>
        <v>2.3954864410000001</v>
        <stp/>
        <stp>_x0010_USD_CURVE_1M_16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1" s="7"/>
      </tp>
      <tp>
        <v>2.4269758079999999</v>
        <stp/>
        <stp>_x0010_USD_CURVE_3M_14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9" s="7"/>
      </tp>
      <tp>
        <v>2.3633944059999998</v>
        <stp/>
        <stp>_x0010_USD_CURVE_6M_11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6" s="7"/>
      </tp>
      <tp>
        <v>2.4222564289999999</v>
        <stp/>
        <stp>_x0010_USD_CURVE_1M_17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2" s="7"/>
      </tp>
      <tp>
        <v>2.464</v>
        <stp/>
        <stp>_x0010_USD_CURVE_3M_15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0" s="7"/>
      </tp>
      <tp>
        <v>2.2886892259999998</v>
        <stp/>
        <stp>_x0010_USD_CURVE_6M_10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5" s="7"/>
      </tp>
      <tp>
        <v>2.0920001259999998</v>
        <stp/>
        <stp>_x0010_USD_CURVE_1M_10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5" s="7"/>
      </tp>
      <tp>
        <v>2.3319999999999999</v>
        <stp/>
        <stp>_x0010_USD_CURVE_3M_12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7" s="7"/>
      </tp>
      <tp>
        <v>2.623129831</v>
        <stp/>
        <stp>_x0010_USD_CURVE_6M_17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2" s="7"/>
      </tp>
      <tp>
        <v>2.1658512249999999</v>
        <stp/>
        <stp>_x0010_USD_CURVE_1M_11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6" s="7"/>
      </tp>
      <tp>
        <v>2.3837262539999999</v>
        <stp/>
        <stp>_x0010_USD_CURVE_3M_13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8" s="7"/>
      </tp>
      <tp>
        <v>2.5952802249999998</v>
        <stp/>
        <stp>_x0010_USD_CURVE_6M_16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1" s="7"/>
      </tp>
      <tp>
        <v>2.2289795209999999</v>
        <stp/>
        <stp>_x0010_USD_CURVE_1M_12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7" s="7"/>
      </tp>
      <tp>
        <v>2.1989999999999998</v>
        <stp/>
        <stp>_x0010_USD_CURVE_3M_10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5" s="7"/>
      </tp>
      <tp>
        <v>2.5628503170000001</v>
        <stp/>
        <stp>_x0010_USD_CURVE_6M_15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0" s="7"/>
      </tp>
      <tp>
        <v>2.28223799</v>
        <stp/>
        <stp>_x0010_USD_CURVE_1M_13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8" s="7"/>
      </tp>
      <tp>
        <v>2.270663012</v>
        <stp/>
        <stp>_x0010_USD_CURVE_3M_11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6" s="7"/>
      </tp>
      <tp>
        <v>2.5248478809999999</v>
        <stp/>
        <stp>_x0010_USD_CURVE_6M_14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9" s="7"/>
      </tp>
      <tp>
        <v>2.6674461119999999</v>
        <stp/>
        <stp>_x0010_USD_CURVE_6M_19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4" s="7"/>
      </tp>
      <tp>
        <v>2.6470802280000001</v>
        <stp/>
        <stp>_x0010_USD_CURVE_6M_18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3" s="7"/>
      </tp>
      <tp>
        <v>2.4450716749999999</v>
        <stp/>
        <stp>_x0010_USD_CURVE_1M_18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3" s="7"/>
      </tp>
      <tp>
        <v>2.4643603490000001</v>
        <stp/>
        <stp>_x0010_USD_CURVE_1M_19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4" s="7"/>
      </tp>
      <tp>
        <v>2.5473323209999998</v>
        <stp/>
        <stp>_x0010_USD_CURVE_3M_18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3" s="7"/>
      </tp>
      <tp>
        <v>2.5676431590000002</v>
        <stp/>
        <stp>_x0010_USD_CURVE_3M_19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4" s="7"/>
      </tp>
      <tp>
        <v>2.7682239700000002</v>
        <stp/>
        <stp>_x0010_USD_CURVE_6M_60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8" s="7"/>
      </tp>
      <tp>
        <v>2.5589095799999999</v>
        <stp/>
        <stp>_x0010_USD_CURVE_1M_60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8" s="7"/>
      </tp>
      <tp>
        <v>2.667291369</v>
        <stp/>
        <stp>_x0010_USD_CURVE_3M_60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8" s="7"/>
      </tp>
      <tp>
        <v>2.7829380390000003</v>
        <stp/>
        <stp>_x0010_USD_CURVE_6M_50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7" s="7"/>
      </tp>
      <tp>
        <v>2.5737737169999999</v>
        <stp/>
        <stp>_x0010_USD_CURVE_1M_50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7" s="7"/>
      </tp>
      <tp>
        <v>2.6819999999999999</v>
        <stp/>
        <stp>_x0010_USD_CURVE_3M_50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7" s="7"/>
      </tp>
      <tp>
        <v>2.7989445559999999</v>
        <stp/>
        <stp>_x0010_USD_CURVE_6M_40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6" s="7"/>
      </tp>
      <tp>
        <v>2.5897653429999998</v>
        <stp/>
        <stp>_x0010_USD_CURVE_1M_40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6" s="7"/>
      </tp>
      <tp>
        <v>2.698</v>
        <stp/>
        <stp>_x0010_USD_CURVE_3M_40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6" s="7"/>
      </tp>
      <tp>
        <v>0.45400000000000001</v>
        <stp/>
        <stp>_x0011_USD_CURVE_OIS_15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34" s="7"/>
      </tp>
      <tp>
        <v>2.4279999999999999</v>
        <stp/>
        <stp>_x0011_USD_CURVE_OIS_25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0" s="7"/>
      </tp>
      <tp>
        <v>2.2509999999999999</v>
        <stp/>
        <stp>_x0011_USD_CURVE_OIS_15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0" s="7"/>
      </tp>
    </main>
    <main first="pldatasource.rtgetrtdserver">
      <tp>
        <v>2.4367589500000002</v>
        <stp/>
        <stp>_x0011_USD_CURVE_OIS_26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1" s="7"/>
      </tp>
      <tp>
        <v>2.282355634</v>
        <stp/>
        <stp>_x0011_USD_CURVE_OIS_16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1" s="7"/>
      </tp>
    </main>
    <main first="pldatasource.rtgetrtdserver">
      <tp>
        <v>2.4446688170000002</v>
        <stp/>
        <stp>_x0011_USD_CURVE_OIS_27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2" s="7"/>
      </tp>
      <tp>
        <v>2.3089441229999998</v>
        <stp/>
        <stp>_x0011_USD_CURVE_OIS_17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2" s="7"/>
      </tp>
    </main>
    <main first="pldatasource.rtgetrtdserver">
      <tp>
        <v>0.52</v>
        <stp/>
        <stp>_x0011_USD_CURVE_OIS_18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35" s="7"/>
      </tp>
      <tp>
        <v>2.4516915319999999</v>
        <stp/>
        <stp>_x0011_USD_CURVE_OIS_28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3" s="7"/>
      </tp>
      <tp>
        <v>2.3316903139999998</v>
        <stp/>
        <stp>_x0011_USD_CURVE_OIS_18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3" s="7"/>
      </tp>
      <tp>
        <v>2.4578514249999999</v>
        <stp/>
        <stp>_x0011_USD_CURVE_OIS_29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4" s="7"/>
      </tp>
      <tp>
        <v>2.351109304</v>
        <stp/>
        <stp>_x0011_USD_CURVE_OIS_19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4" s="7"/>
      </tp>
    </main>
    <main first="pldatasource.rtgetrtdserver">
      <tp>
        <v>2.6674461119999999</v>
        <stp/>
        <stp>_x0010_USD_CURVE_6M_19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4" s="7"/>
      </tp>
      <tp>
        <v>2.6470802280000001</v>
        <stp/>
        <stp>_x0010_USD_CURVE_6M_18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3" s="7"/>
      </tp>
      <tp>
        <v>2.5473323209999998</v>
        <stp/>
        <stp>_x0010_USD_CURVE_3M_18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3" s="7"/>
      </tp>
      <tp>
        <v>2.5676431590000002</v>
        <stp/>
        <stp>_x0010_USD_CURVE_3M_19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4" s="7"/>
      </tp>
      <tp>
        <v>2.4450716749999999</v>
        <stp/>
        <stp>_x0010_USD_CURVE_1M_18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3" s="7"/>
      </tp>
      <tp>
        <v>2.4643603490000001</v>
        <stp/>
        <stp>_x0010_USD_CURVE_1M_19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4" s="7"/>
      </tp>
      <tp>
        <v>2.3954864410000001</v>
        <stp/>
        <stp>_x0010_USD_CURVE_1M_16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1" s="7"/>
      </tp>
      <tp>
        <v>2.4269758079999999</v>
        <stp/>
        <stp>_x0010_USD_CURVE_3M_14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9" s="7"/>
      </tp>
      <tp>
        <v>2.3633944059999998</v>
        <stp/>
        <stp>_x0010_USD_CURVE_6M_11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6" s="7"/>
      </tp>
      <tp>
        <v>2.4222564289999999</v>
        <stp/>
        <stp>_x0010_USD_CURVE_1M_17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2" s="7"/>
      </tp>
      <tp>
        <v>2.464</v>
        <stp/>
        <stp>_x0010_USD_CURVE_3M_15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0" s="7"/>
      </tp>
      <tp>
        <v>2.2886892259999998</v>
        <stp/>
        <stp>_x0010_USD_CURVE_6M_10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5" s="7"/>
      </tp>
      <tp>
        <v>2.3265423730000001</v>
        <stp/>
        <stp>_x0010_USD_CURVE_1M_14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9" s="7"/>
      </tp>
      <tp>
        <v>2.495884432</v>
        <stp/>
        <stp>_x0010_USD_CURVE_3M_16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1" s="7"/>
      </tp>
      <tp>
        <v>2.480214937</v>
        <stp/>
        <stp>_x0010_USD_CURVE_6M_13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8" s="7"/>
      </tp>
      <tp>
        <v>2.3639521640000001</v>
        <stp/>
        <stp>_x0010_USD_CURVE_1M_15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0" s="7"/>
      </tp>
      <tp>
        <v>2.5234818020000001</v>
        <stp/>
        <stp>_x0010_USD_CURVE_3M_17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2" s="7"/>
      </tp>
      <tp>
        <v>2.42677151</v>
        <stp/>
        <stp>_x0010_USD_CURVE_6M_12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7" s="7"/>
      </tp>
      <tp>
        <v>2.2289795209999999</v>
        <stp/>
        <stp>_x0010_USD_CURVE_1M_12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7" s="7"/>
      </tp>
      <tp>
        <v>2.1989999999999998</v>
        <stp/>
        <stp>_x0010_USD_CURVE_3M_10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5" s="7"/>
      </tp>
      <tp>
        <v>2.5628503170000001</v>
        <stp/>
        <stp>_x0010_USD_CURVE_6M_15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0" s="7"/>
      </tp>
      <tp>
        <v>2.28223799</v>
        <stp/>
        <stp>_x0010_USD_CURVE_1M_13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8" s="7"/>
      </tp>
      <tp>
        <v>2.270663012</v>
        <stp/>
        <stp>_x0010_USD_CURVE_3M_11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6" s="7"/>
      </tp>
      <tp>
        <v>2.5248478809999999</v>
        <stp/>
        <stp>_x0010_USD_CURVE_6M_14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9" s="7"/>
      </tp>
      <tp>
        <v>2.0920001259999998</v>
        <stp/>
        <stp>_x0010_USD_CURVE_1M_10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5" s="7"/>
      </tp>
      <tp>
        <v>2.3319999999999999</v>
        <stp/>
        <stp>_x0010_USD_CURVE_3M_12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7" s="7"/>
      </tp>
      <tp>
        <v>2.623129831</v>
        <stp/>
        <stp>_x0010_USD_CURVE_6M_17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2" s="7"/>
      </tp>
      <tp>
        <v>2.1658512249999999</v>
        <stp/>
        <stp>_x0010_USD_CURVE_1M_11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6" s="7"/>
      </tp>
      <tp>
        <v>2.3837262539999999</v>
        <stp/>
        <stp>_x0010_USD_CURVE_3M_13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8" s="7"/>
      </tp>
      <tp>
        <v>2.5952802249999998</v>
        <stp/>
        <stp>_x0010_USD_CURVE_6M_16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1" s="7"/>
      </tp>
      <tp>
        <v>2.7743417159999999</v>
        <stp/>
        <stp>_x0010_USD_CURVE_6M_29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4" s="7"/>
      </tp>
      <tp>
        <v>2.7678354619999999</v>
        <stp/>
        <stp>_x0010_USD_CURVE_6M_28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3" s="7"/>
      </tp>
      <tp>
        <v>2.6668346070000002</v>
        <stp/>
        <stp>_x0010_USD_CURVE_3M_28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3" s="7"/>
      </tp>
      <tp>
        <v>2.6733721639999999</v>
        <stp/>
        <stp>_x0010_USD_CURVE_3M_29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4" s="7"/>
      </tp>
      <tp>
        <v>2.5593129279999998</v>
        <stp/>
        <stp>_x0010_USD_CURVE_1M_28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3" s="7"/>
      </tp>
      <tp>
        <v>2.5654523659999997</v>
        <stp/>
        <stp>_x0010_USD_CURVE_1M_29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4" s="7"/>
      </tp>
      <tp>
        <v>2.5449873859999999</v>
        <stp/>
        <stp>_x0010_USD_CURVE_1M_26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1" s="7"/>
      </tp>
      <tp>
        <v>2.633829451</v>
        <stp/>
        <stp>_x0010_USD_CURVE_3M_24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9" s="7"/>
      </tp>
      <tp>
        <v>2.6999307510000001</v>
        <stp/>
        <stp>_x0010_USD_CURVE_6M_21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6" s="7"/>
      </tp>
      <tp>
        <v>2.5525003699999997</v>
        <stp/>
        <stp>_x0010_USD_CURVE_1M_27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2" s="7"/>
      </tp>
      <tp>
        <v>2.6429999999999998</v>
        <stp/>
        <stp>_x0010_USD_CURVE_3M_25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0" s="7"/>
      </tp>
      <tp>
        <v>2.6848992520000001</v>
        <stp/>
        <stp>_x0010_USD_CURVE_6M_20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5" s="7"/>
      </tp>
      <tp>
        <v>2.5279923540000002</v>
        <stp/>
        <stp>_x0010_USD_CURVE_1M_24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9" s="7"/>
      </tp>
      <tp>
        <v>2.6516042959999999</v>
        <stp/>
        <stp>_x0010_USD_CURVE_3M_26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1" s="7"/>
      </tp>
      <tp>
        <v>2.7243180759999999</v>
        <stp/>
        <stp>_x0010_USD_CURVE_6M_23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8" s="7"/>
      </tp>
      <tp>
        <v>2.5368087450000001</v>
        <stp/>
        <stp>_x0010_USD_CURVE_1M_25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0" s="7"/>
      </tp>
      <tp>
        <v>2.6595761009999999</v>
        <stp/>
        <stp>_x0010_USD_CURVE_3M_27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2" s="7"/>
      </tp>
      <tp>
        <v>2.7129028850000001</v>
        <stp/>
        <stp>_x0010_USD_CURVE_6M_22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7" s="7"/>
      </tp>
      <tp>
        <v>2.5073981540000001</v>
        <stp/>
        <stp>_x0010_USD_CURVE_1M_22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7" s="7"/>
      </tp>
      <tp>
        <v>2.585</v>
        <stp/>
        <stp>_x0010_USD_CURVE_3M_20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5" s="7"/>
      </tp>
      <tp>
        <v>2.743929149</v>
        <stp/>
        <stp>_x0010_USD_CURVE_6M_25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0" s="7"/>
      </tp>
      <tp>
        <v>2.5182339469999997</v>
        <stp/>
        <stp>_x0010_USD_CURVE_1M_23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8" s="7"/>
      </tp>
      <tp>
        <v>2.5998457669999997</v>
        <stp/>
        <stp>_x0010_USD_CURVE_3M_21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6" s="7"/>
      </tp>
      <tp>
        <v>2.7346085100000002</v>
        <stp/>
        <stp>_x0010_USD_CURVE_6M_24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9" s="7"/>
      </tp>
      <tp>
        <v>2.4808579869999998</v>
        <stp/>
        <stp>_x0010_USD_CURVE_1M_20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5" s="7"/>
      </tp>
      <tp>
        <v>2.6125807509999999</v>
        <stp/>
        <stp>_x0010_USD_CURVE_3M_22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7" s="7"/>
      </tp>
      <tp>
        <v>2.760594856</v>
        <stp/>
        <stp>_x0010_USD_CURVE_6M_27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2" s="7"/>
      </tp>
      <tp>
        <v>2.4950916009999999</v>
        <stp/>
        <stp>_x0010_USD_CURVE_1M_21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6" s="7"/>
      </tp>
      <tp>
        <v>2.6237527050000002</v>
        <stp/>
        <stp>_x0010_USD_CURVE_3M_23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8" s="7"/>
      </tp>
      <tp>
        <v>2.7526071400000003</v>
        <stp/>
        <stp>_x0010_USD_CURVE_6M_26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1" s="7"/>
      </tp>
      <tp>
        <v>2.7799410789999999</v>
        <stp/>
        <stp>_x0010_USD_CURVE_6M_30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5" s="7"/>
      </tp>
      <tp>
        <v>2.6790000000000003</v>
        <stp/>
        <stp>_x0010_USD_CURVE_3M_30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5" s="7"/>
      </tp>
      <tp>
        <v>2.5707702020000003</v>
        <stp/>
        <stp>_x0010_USD_CURVE_1M_30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5" s="7"/>
      </tp>
      <tp>
        <v>2.7989445559999999</v>
        <stp/>
        <stp>_x0010_USD_CURVE_6M_40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6" s="7"/>
      </tp>
      <tp>
        <v>2.698</v>
        <stp/>
        <stp>_x0010_USD_CURVE_3M_40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6" s="7"/>
      </tp>
      <tp>
        <v>2.5897653429999998</v>
        <stp/>
        <stp>_x0010_USD_CURVE_1M_40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6" s="7"/>
      </tp>
      <tp>
        <v>2.7829380390000003</v>
        <stp/>
        <stp>_x0010_USD_CURVE_6M_50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7" s="7"/>
      </tp>
      <tp>
        <v>2.6819999999999999</v>
        <stp/>
        <stp>_x0010_USD_CURVE_3M_50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7" s="7"/>
      </tp>
      <tp>
        <v>2.5737737169999999</v>
        <stp/>
        <stp>_x0010_USD_CURVE_1M_50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7" s="7"/>
      </tp>
      <tp>
        <v>2.7682239700000002</v>
        <stp/>
        <stp>_x0010_USD_CURVE_6M_60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8" s="7"/>
      </tp>
      <tp>
        <v>2.667291369</v>
        <stp/>
        <stp>_x0010_USD_CURVE_3M_60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8" s="7"/>
      </tp>
      <tp>
        <v>2.5589095799999999</v>
        <stp/>
        <stp>_x0010_USD_CURVE_1M_60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8" s="7"/>
      </tp>
    </main>
    <main first="pldatasource.rtgetrtdserver">
      <tp>
        <v>0.17099999999999999</v>
        <stp/>
        <stp>_x0010_USD_CURVE_OIS_2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0" s="7"/>
      </tp>
      <tp>
        <v>0.17800000099999999</v>
        <stp/>
        <stp>_x0010_USD_CURVE_OIS_3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1" s="7"/>
      </tp>
      <tp>
        <v>0.15</v>
        <stp/>
        <stp>_x0010_USD_CURVE_OIS_1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9" s="7"/>
      </tp>
    </main>
    <main first="pldatasource.rtgetrtdserver">
      <tp>
        <v>0.39</v>
        <stp/>
        <stp>_x0010_USD_CURVE_OIS_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23" s="7"/>
      </tp>
      <tp>
        <v>0.66300000000000003</v>
        <stp/>
        <stp>_x0010_USD_CURVE_OIS_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37" s="7"/>
      </tp>
      <tp>
        <v>0.92100000000000004</v>
        <stp/>
        <stp>_x0010_USD_CURVE_OIS_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38" s="7"/>
      </tp>
      <tp>
        <v>1.1499999999999999</v>
        <stp/>
        <stp>_x0010_USD_CURVE_OIS_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39" s="7"/>
      </tp>
      <tp>
        <v>1.353</v>
        <stp/>
        <stp>_x0010_USD_CURVE_OIS_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0" s="7"/>
      </tp>
      <tp>
        <v>1.5289999999999999</v>
        <stp/>
        <stp>_x0010_USD_CURVE_OIS_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1" s="7"/>
      </tp>
      <tp>
        <v>1.6759999999999999</v>
        <stp/>
        <stp>_x0010_USD_CURVE_OIS_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2" s="7"/>
      </tp>
      <tp>
        <v>1.796</v>
        <stp/>
        <stp>_x0010_USD_CURVE_OIS_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3" s="7"/>
      </tp>
      <tp>
        <v>1.9019999999999999</v>
        <stp/>
        <stp>_x0010_USD_CURVE_OIS_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4" s="7"/>
      </tp>
      <tp>
        <v>0.52</v>
        <stp/>
        <stp>_x0011_USD_CURVE_OIS_18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35" s="7"/>
      </tp>
      <tp>
        <v>2.3316903139999998</v>
        <stp/>
        <stp>_x0011_USD_CURVE_OIS_18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3" s="7"/>
      </tp>
      <tp>
        <v>2.4516915319999999</v>
        <stp/>
        <stp>_x0011_USD_CURVE_OIS_28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3" s="7"/>
      </tp>
      <tp>
        <v>2.351109304</v>
        <stp/>
        <stp>_x0011_USD_CURVE_OIS_19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4" s="7"/>
      </tp>
      <tp>
        <v>2.4578514249999999</v>
        <stp/>
        <stp>_x0011_USD_CURVE_OIS_29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4" s="7"/>
      </tp>
      <tp>
        <v>0.309</v>
        <stp/>
        <stp>_x0010_USD_CURVE_OIS_8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9" s="7"/>
      </tp>
      <tp>
        <v>0.32700000000000001</v>
        <stp/>
        <stp>_x0010_USD_CURVE_OIS_9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20" s="7"/>
      </tp>
      <tp>
        <v>0.19600000000000001</v>
        <stp/>
        <stp>_x0010_USD_CURVE_OIS_2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3" s="7"/>
      </tp>
      <tp>
        <v>0.21200000000000002</v>
        <stp/>
        <stp>_x0010_USD_CURVE_OIS_3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4" s="7"/>
      </tp>
      <tp>
        <v>0.18099999999999999</v>
        <stp/>
        <stp>_x0010_USD_CURVE_OIS_1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2" s="7"/>
      </tp>
      <tp>
        <v>0.27</v>
        <stp/>
        <stp>_x0010_USD_CURVE_OIS_6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7" s="7"/>
      </tp>
      <tp>
        <v>0.29100000000000004</v>
        <stp/>
        <stp>_x0010_USD_CURVE_OIS_7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8" s="7"/>
      </tp>
      <tp>
        <v>0.23700000000000002</v>
        <stp/>
        <stp>_x0010_USD_CURVE_OIS_4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5" s="7"/>
      </tp>
      <tp>
        <v>0.255</v>
        <stp/>
        <stp>_x0010_USD_CURVE_OIS_5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6" s="7"/>
      </tp>
      <tp>
        <v>2.1179999999999999</v>
        <stp/>
        <stp>_x0011_USD_CURVE_OIS_12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7" s="7"/>
      </tp>
      <tp>
        <v>2.3960666380000002</v>
        <stp/>
        <stp>_x0011_USD_CURVE_OIS_22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7" s="7"/>
      </tp>
      <tp>
        <v>2.1698543840000002</v>
        <stp/>
        <stp>_x0011_USD_CURVE_OIS_13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8" s="7"/>
      </tp>
      <tp>
        <v>2.4078070559999998</v>
        <stp/>
        <stp>_x0011_USD_CURVE_OIS_23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8" s="7"/>
      </tp>
      <tp>
        <v>0.34799999999999998</v>
        <stp/>
        <stp>_x0011_USD_CURVE_OIS_10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21" s="7"/>
      </tp>
      <tp>
        <v>2.4620000000000002</v>
        <stp/>
        <stp>_x0011_USD_CURVE_OIS_50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7" s="7"/>
      </tp>
      <tp>
        <v>2.4769999999999999</v>
        <stp/>
        <stp>_x0011_USD_CURVE_OIS_40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6" s="7"/>
      </tp>
      <tp>
        <v>2.4489038170000001</v>
        <stp/>
        <stp>_x0011_USD_CURVE_OIS_60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8" s="7"/>
      </tp>
      <tp>
        <v>1.9869999999999999</v>
        <stp/>
        <stp>_x0011_USD_CURVE_OIS_10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5" s="7"/>
      </tp>
      <tp>
        <v>2.4630000000000001</v>
        <stp/>
        <stp>_x0011_USD_CURVE_OIS_30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5" s="7"/>
      </tp>
      <tp>
        <v>2.3679999999999999</v>
        <stp/>
        <stp>_x0011_USD_CURVE_OIS_20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5" s="7"/>
      </tp>
      <tp>
        <v>0.36799999999999999</v>
        <stp/>
        <stp>_x0011_USD_CURVE_OIS_11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22" s="7"/>
      </tp>
      <tp>
        <v>0.59400000000000008</v>
        <stp/>
        <stp>_x0011_USD_CURVE_OIS_21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36" s="7"/>
      </tp>
      <tp>
        <v>2.0577027920000002</v>
        <stp/>
        <stp>_x0011_USD_CURVE_OIS_11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6" s="7"/>
      </tp>
      <tp>
        <v>2.3829112069999998</v>
        <stp/>
        <stp>_x0011_USD_CURVE_OIS_21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6" s="7"/>
      </tp>
      <tp>
        <v>0.18099999999999999</v>
        <stp/>
        <stp>_x0010_USD_CURVE_OIS_1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2" s="7"/>
      </tp>
      <tp>
        <v>0.19600000000000001</v>
        <stp/>
        <stp>_x0010_USD_CURVE_OIS_2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3" s="7"/>
      </tp>
      <tp>
        <v>0.21200000000000002</v>
        <stp/>
        <stp>_x0010_USD_CURVE_OIS_3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4" s="7"/>
      </tp>
      <tp>
        <v>0.23700000000000002</v>
        <stp/>
        <stp>_x0010_USD_CURVE_OIS_4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5" s="7"/>
      </tp>
      <tp>
        <v>0.255</v>
        <stp/>
        <stp>_x0010_USD_CURVE_OIS_5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6" s="7"/>
      </tp>
      <tp>
        <v>0.27</v>
        <stp/>
        <stp>_x0010_USD_CURVE_OIS_6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7" s="7"/>
      </tp>
      <tp>
        <v>0.29100000000000004</v>
        <stp/>
        <stp>_x0010_USD_CURVE_OIS_7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8" s="7"/>
      </tp>
      <tp>
        <v>0.309</v>
        <stp/>
        <stp>_x0010_USD_CURVE_OIS_8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9" s="7"/>
      </tp>
      <tp>
        <v>0.32700000000000001</v>
        <stp/>
        <stp>_x0010_USD_CURVE_OIS_9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20" s="7"/>
      </tp>
      <tp>
        <v>2.282355634</v>
        <stp/>
        <stp>_x0011_USD_CURVE_OIS_16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1" s="7"/>
      </tp>
      <tp>
        <v>2.4367589500000002</v>
        <stp/>
        <stp>_x0011_USD_CURVE_OIS_26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1" s="7"/>
      </tp>
      <tp>
        <v>2.3089441229999998</v>
        <stp/>
        <stp>_x0011_USD_CURVE_OIS_17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2" s="7"/>
      </tp>
      <tp>
        <v>2.4446688170000002</v>
        <stp/>
        <stp>_x0011_USD_CURVE_OIS_27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2" s="7"/>
      </tp>
      <tp>
        <v>2.2137161810000001</v>
        <stp/>
        <stp>_x0011_USD_CURVE_OIS_14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9" s="7"/>
      </tp>
      <tp>
        <v>2.4184355910000002</v>
        <stp/>
        <stp>_x0011_USD_CURVE_OIS_24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9" s="7"/>
      </tp>
      <tp>
        <v>0.45400000000000001</v>
        <stp/>
        <stp>_x0011_USD_CURVE_OIS_15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34" s="7"/>
      </tp>
      <tp>
        <v>2.2509999999999999</v>
        <stp/>
        <stp>_x0011_USD_CURVE_OIS_15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0" s="7"/>
      </tp>
      <tp>
        <v>2.4279999999999999</v>
        <stp/>
        <stp>_x0011_USD_CURVE_OIS_25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0" s="7"/>
      </tp>
      <tp>
        <v>2.5739698129999997</v>
        <stp/>
        <stp>_x0011_USD_CURVE_12M_12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7" s="23"/>
      </tp>
      <tp>
        <v>2.8459095890000001</v>
        <stp/>
        <stp>_x0011_USD_CURVE_12M_22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7" s="23"/>
      </tp>
      <tp>
        <v>2.6276140029999997</v>
        <stp/>
        <stp>_x0011_USD_CURVE_12M_13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8" s="23"/>
      </tp>
      <tp>
        <v>2.8558370599999998</v>
        <stp/>
        <stp>_x0011_USD_CURVE_12M_23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8" s="23"/>
      </tp>
      <tp>
        <v>2.91415749</v>
        <stp/>
        <stp>_x0011_USD_CURVE_12M_50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7" s="23"/>
      </tp>
      <tp>
        <v>2.9301724789999999</v>
        <stp/>
        <stp>_x0011_USD_CURVE_12M_40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6" s="23"/>
      </tp>
      <tp>
        <v>2.8994363519999999</v>
        <stp/>
        <stp>_x0011_USD_CURVE_12M_60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8" s="23"/>
      </tp>
      <tp>
        <v>2.4383392279999998</v>
        <stp/>
        <stp>_x0011_USD_CURVE_12M_10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5" s="23"/>
      </tp>
      <tp>
        <v>2.9111644810000001</v>
        <stp/>
        <stp>_x0011_USD_CURVE_12M_30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5" s="23"/>
      </tp>
      <tp>
        <v>2.8221345869999999</v>
        <stp/>
        <stp>_x0011_USD_CURVE_12M_20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5" s="23"/>
      </tp>
      <tp>
        <v>2.5113216679999999</v>
        <stp/>
        <stp>_x0011_USD_CURVE_12M_11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6" s="23"/>
      </tp>
      <tp>
        <v>2.8348543080000002</v>
        <stp/>
        <stp>_x0011_USD_CURVE_12M_21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6" s="23"/>
      </tp>
      <tp>
        <v>1.57</v>
        <stp/>
        <stp>_x0010_USD_CURVE_STD_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40" s="23"/>
      </tp>
      <tp>
        <v>1.3639999999999999</v>
        <stp/>
        <stp>_x0010_USD_CURVE_STD_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39" s="23"/>
      </tp>
      <tp>
        <v>1.8939999999999999</v>
        <stp/>
        <stp>_x0010_USD_CURVE_STD_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42" s="23"/>
      </tp>
      <tp>
        <v>1.7469999999999999</v>
        <stp/>
        <stp>_x0010_USD_CURVE_STD_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41" s="23"/>
      </tp>
      <tp>
        <v>0.61138994899999999</v>
        <stp/>
        <stp>_x0010_USD_CURVE_STD_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33" s="23"/>
      </tp>
      <tp>
        <v>1.123</v>
        <stp/>
        <stp>_x0010_USD_CURVE_STD_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38" s="23"/>
      </tp>
      <tp>
        <v>0.88370424199999997</v>
        <stp/>
        <stp>_x0010_USD_CURVE_STD_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37" s="23"/>
      </tp>
      <tp>
        <v>2.1160000000000001</v>
        <stp/>
        <stp>_x0010_USD_CURVE_STD_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44" s="23"/>
      </tp>
      <tp>
        <v>2.016</v>
        <stp/>
        <stp>_x0010_USD_CURVE_STD_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43" s="23"/>
      </tp>
      <tp>
        <v>2.7424959590000002</v>
        <stp/>
        <stp>_x0011_USD_CURVE_12M_16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1" s="23"/>
      </tp>
      <tp>
        <v>2.882474926</v>
        <stp/>
        <stp>_x0011_USD_CURVE_12M_26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1" s="23"/>
      </tp>
    </main>
    <main first="pldatasource.rtgetrtdserver">
      <tp>
        <v>2.768290935</v>
        <stp/>
        <stp>_x0011_USD_CURVE_12M_17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2" s="23"/>
      </tp>
      <tp>
        <v>2.890697254</v>
        <stp/>
        <stp>_x0011_USD_CURVE_12M_27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2" s="23"/>
      </tp>
    </main>
    <main first="pldatasource.rtgetrtdserver">
      <tp>
        <v>0.21200000000000002</v>
        <stp/>
        <stp>_x0010_USD_CURVE_OIS_3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4" s="23"/>
      </tp>
      <tp>
        <v>0.19600000000000001</v>
        <stp/>
        <stp>_x0010_USD_CURVE_OIS_2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3" s="23"/>
      </tp>
      <tp>
        <v>0.18099999999999999</v>
        <stp/>
        <stp>_x0010_USD_CURVE_OIS_1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2" s="23"/>
      </tp>
      <tp>
        <v>0.29100000000000004</v>
        <stp/>
        <stp>_x0010_USD_CURVE_OIS_7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8" s="23"/>
      </tp>
      <tp>
        <v>0.27</v>
        <stp/>
        <stp>_x0010_USD_CURVE_OIS_6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7" s="23"/>
      </tp>
      <tp>
        <v>0.255</v>
        <stp/>
        <stp>_x0010_USD_CURVE_OIS_5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6" s="23"/>
      </tp>
      <tp>
        <v>0.23700000000000002</v>
        <stp/>
        <stp>_x0010_USD_CURVE_OIS_4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5" s="23"/>
      </tp>
      <tp>
        <v>0.32700000000000001</v>
        <stp/>
        <stp>_x0010_USD_CURVE_OIS_9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20" s="23"/>
      </tp>
      <tp>
        <v>0.309</v>
        <stp/>
        <stp>_x0010_USD_CURVE_OIS_8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9" s="23"/>
      </tp>
      <tp>
        <v>2.6728974480000001</v>
        <stp/>
        <stp>_x0011_USD_CURVE_12M_14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9" s="23"/>
      </tp>
      <tp>
        <v>2.8650963699999998</v>
        <stp/>
        <stp>_x0011_USD_CURVE_12M_24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9" s="23"/>
      </tp>
      <tp>
        <v>2.7111257929999999</v>
        <stp/>
        <stp>_x0011_USD_CURVE_12M_15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0" s="23"/>
      </tp>
      <tp>
        <v>2.8738754279999998</v>
        <stp/>
        <stp>_x0011_USD_CURVE_12M_25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0" s="23"/>
      </tp>
    </main>
    <main first="pldatasource.rtgetrtdserver">
      <tp>
        <v>2.789655792</v>
        <stp/>
        <stp>_x0011_USD_CURVE_12M_18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3" s="23"/>
      </tp>
      <tp>
        <v>2.8983267270000002</v>
        <stp/>
        <stp>_x0011_USD_CURVE_12M_28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3" s="23"/>
      </tp>
      <tp>
        <v>0.32700000000000001</v>
        <stp/>
        <stp>_x0010_USD_CURVE_OIS_9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20" s="23"/>
      </tp>
      <tp>
        <v>0.309</v>
        <stp/>
        <stp>_x0010_USD_CURVE_OIS_8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9" s="23"/>
      </tp>
      <tp>
        <v>0.18099999999999999</v>
        <stp/>
        <stp>_x0010_USD_CURVE_OIS_1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2" s="23"/>
      </tp>
      <tp>
        <v>0.21200000000000002</v>
        <stp/>
        <stp>_x0010_USD_CURVE_OIS_3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4" s="23"/>
      </tp>
      <tp>
        <v>0.19600000000000001</v>
        <stp/>
        <stp>_x0010_USD_CURVE_OIS_2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3" s="23"/>
      </tp>
      <tp>
        <v>0.255</v>
        <stp/>
        <stp>_x0010_USD_CURVE_OIS_5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6" s="23"/>
      </tp>
      <tp>
        <v>0.23700000000000002</v>
        <stp/>
        <stp>_x0010_USD_CURVE_OIS_4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5" s="23"/>
      </tp>
      <tp>
        <v>0.29100000000000004</v>
        <stp/>
        <stp>_x0010_USD_CURVE_OIS_7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8" s="23"/>
      </tp>
      <tp>
        <v>0.27</v>
        <stp/>
        <stp>_x0010_USD_CURVE_OIS_6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7" s="23"/>
      </tp>
      <tp>
        <v>2.8072936259999999</v>
        <stp/>
        <stp>_x0011_USD_CURVE_12M_19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4" s="23"/>
      </tp>
      <tp>
        <v>2.905247541</v>
        <stp/>
        <stp>_x0011_USD_CURVE_12M_29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4" s="23"/>
      </tp>
      <tp>
        <v>2.1160000000000001</v>
        <stp/>
        <stp>_x0010_USD_CURVE_STD_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44" s="23"/>
      </tp>
      <tp>
        <v>2.016</v>
        <stp/>
        <stp>_x0010_USD_CURVE_STD_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43" s="23"/>
      </tp>
      <tp>
        <v>1.8939999999999999</v>
        <stp/>
        <stp>_x0010_USD_CURVE_STD_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42" s="23"/>
      </tp>
      <tp>
        <v>1.7469999999999999</v>
        <stp/>
        <stp>_x0010_USD_CURVE_STD_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41" s="23"/>
      </tp>
      <tp>
        <v>1.57</v>
        <stp/>
        <stp>_x0010_USD_CURVE_STD_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40" s="23"/>
      </tp>
      <tp>
        <v>1.3639999999999999</v>
        <stp/>
        <stp>_x0010_USD_CURVE_STD_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39" s="23"/>
      </tp>
      <tp>
        <v>1.123</v>
        <stp/>
        <stp>_x0010_USD_CURVE_STD_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38" s="23"/>
      </tp>
      <tp>
        <v>0.88370424199999997</v>
        <stp/>
        <stp>_x0010_USD_CURVE_STD_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37" s="23"/>
      </tp>
      <tp>
        <v>0.61138994899999999</v>
        <stp/>
        <stp>_x0010_USD_CURVE_STD_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33" s="23"/>
      </tp>
    </main>
    <main first="pldatasource.rtgetrtdserver">
      <tp>
        <v>2.8983267270000002</v>
        <stp/>
        <stp>_x0011_USD_CURVE_12M_28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3" s="23"/>
      </tp>
      <tp>
        <v>2.789655792</v>
        <stp/>
        <stp>_x0011_USD_CURVE_12M_18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3" s="23"/>
      </tp>
      <tp>
        <v>0.15</v>
        <stp/>
        <stp>_x0010_USD_CURVE_OIS_1W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9" s="23"/>
      </tp>
      <tp>
        <v>0.17800000099999999</v>
        <stp/>
        <stp>_x0010_USD_CURVE_OIS_3W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1" s="23"/>
      </tp>
      <tp>
        <v>0.17099999999999999</v>
        <stp/>
        <stp>_x0010_USD_CURVE_OIS_2W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0" s="23"/>
      </tp>
      <tp>
        <v>2.905247541</v>
        <stp/>
        <stp>_x0011_USD_CURVE_12M_29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4" s="23"/>
      </tp>
      <tp>
        <v>2.8072936259999999</v>
        <stp/>
        <stp>_x0011_USD_CURVE_12M_19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4" s="23"/>
      </tp>
      <tp>
        <v>0.92100000000000004</v>
        <stp/>
        <stp>_x0010_USD_CURVE_OIS_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38" s="23"/>
      </tp>
      <tp>
        <v>0.66300000000000003</v>
        <stp/>
        <stp>_x0010_USD_CURVE_OIS_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37" s="23"/>
      </tp>
      <tp>
        <v>0.39</v>
        <stp/>
        <stp>_x0010_USD_CURVE_OIS_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23" s="23"/>
      </tp>
      <tp>
        <v>1.6759999999999999</v>
        <stp/>
        <stp>_x0010_USD_CURVE_OIS_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2" s="23"/>
      </tp>
      <tp>
        <v>1.5289999999999999</v>
        <stp/>
        <stp>_x0010_USD_CURVE_OIS_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1" s="23"/>
      </tp>
      <tp>
        <v>1.353</v>
        <stp/>
        <stp>_x0010_USD_CURVE_OIS_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0" s="23"/>
      </tp>
      <tp>
        <v>1.1499999999999999</v>
        <stp/>
        <stp>_x0010_USD_CURVE_OIS_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39" s="23"/>
      </tp>
      <tp>
        <v>1.9019999999999999</v>
        <stp/>
        <stp>_x0010_USD_CURVE_OIS_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4" s="23"/>
      </tp>
      <tp>
        <v>1.796</v>
        <stp/>
        <stp>_x0010_USD_CURVE_OIS_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3" s="23"/>
      </tp>
      <tp>
        <v>2.7682239700000002</v>
        <stp/>
        <stp>_x0010_USD_CURVE_6M_60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8" s="23"/>
      </tp>
      <tp>
        <v>2.5589095799999999</v>
        <stp/>
        <stp>_x0010_USD_CURVE_1M_60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8" s="23"/>
      </tp>
      <tp>
        <v>2.667291369</v>
        <stp/>
        <stp>_x0010_USD_CURVE_3M_60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8" s="23"/>
      </tp>
      <tp>
        <v>2.7989445559999999</v>
        <stp/>
        <stp>_x0010_USD_CURVE_6M_40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6" s="23"/>
      </tp>
      <tp>
        <v>2.5897653429999998</v>
        <stp/>
        <stp>_x0010_USD_CURVE_1M_40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6" s="23"/>
      </tp>
      <tp>
        <v>2.698</v>
        <stp/>
        <stp>_x0010_USD_CURVE_3M_40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6" s="23"/>
      </tp>
      <tp>
        <v>2.7829380390000003</v>
        <stp/>
        <stp>_x0010_USD_CURVE_6M_50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7" s="23"/>
      </tp>
      <tp>
        <v>2.5737737169999999</v>
        <stp/>
        <stp>_x0010_USD_CURVE_1M_50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7" s="23"/>
      </tp>
      <tp>
        <v>2.6819999999999999</v>
        <stp/>
        <stp>_x0010_USD_CURVE_3M_50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7" s="23"/>
      </tp>
      <tp>
        <v>2.7678354619999999</v>
        <stp/>
        <stp>_x0010_USD_CURVE_6M_28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3" s="23"/>
      </tp>
      <tp>
        <v>2.7743417159999999</v>
        <stp/>
        <stp>_x0010_USD_CURVE_6M_29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4" s="23"/>
      </tp>
      <tp>
        <v>2.5654523659999997</v>
        <stp/>
        <stp>_x0010_USD_CURVE_1M_29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4" s="23"/>
      </tp>
      <tp>
        <v>2.5593129279999998</v>
        <stp/>
        <stp>_x0010_USD_CURVE_1M_28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3" s="23"/>
      </tp>
      <tp>
        <v>2.6733721639999999</v>
        <stp/>
        <stp>_x0010_USD_CURVE_3M_29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4" s="23"/>
      </tp>
      <tp>
        <v>2.6668346070000002</v>
        <stp/>
        <stp>_x0010_USD_CURVE_3M_28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3" s="23"/>
      </tp>
      <tp>
        <v>2.5368087450000001</v>
        <stp/>
        <stp>_x0010_USD_CURVE_1M_25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0" s="23"/>
      </tp>
      <tp>
        <v>2.6595761009999999</v>
        <stp/>
        <stp>_x0010_USD_CURVE_3M_27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2" s="23"/>
      </tp>
      <tp>
        <v>2.7129028850000001</v>
        <stp/>
        <stp>_x0010_USD_CURVE_6M_22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7" s="23"/>
      </tp>
      <tp>
        <v>2.5279923540000002</v>
        <stp/>
        <stp>_x0010_USD_CURVE_1M_24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9" s="23"/>
      </tp>
      <tp>
        <v>2.6516042959999999</v>
        <stp/>
        <stp>_x0010_USD_CURVE_3M_26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1" s="23"/>
      </tp>
      <tp>
        <v>2.7243180759999999</v>
        <stp/>
        <stp>_x0010_USD_CURVE_6M_23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8" s="23"/>
      </tp>
      <tp>
        <v>2.5525003699999997</v>
        <stp/>
        <stp>_x0010_USD_CURVE_1M_27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2" s="23"/>
      </tp>
      <tp>
        <v>2.6429999999999998</v>
        <stp/>
        <stp>_x0010_USD_CURVE_3M_25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0" s="23"/>
      </tp>
      <tp>
        <v>2.6848992520000001</v>
        <stp/>
        <stp>_x0010_USD_CURVE_6M_20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5" s="23"/>
      </tp>
      <tp>
        <v>2.5449873859999999</v>
        <stp/>
        <stp>_x0010_USD_CURVE_1M_26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1" s="23"/>
      </tp>
      <tp>
        <v>2.633829451</v>
        <stp/>
        <stp>_x0010_USD_CURVE_3M_24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9" s="23"/>
      </tp>
      <tp>
        <v>2.6999307510000001</v>
        <stp/>
        <stp>_x0010_USD_CURVE_6M_21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6" s="23"/>
      </tp>
      <tp>
        <v>2.4950916009999999</v>
        <stp/>
        <stp>_x0010_USD_CURVE_1M_21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6" s="23"/>
      </tp>
      <tp>
        <v>2.6237527050000002</v>
        <stp/>
        <stp>_x0010_USD_CURVE_3M_23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8" s="23"/>
      </tp>
      <tp>
        <v>2.7526071400000003</v>
        <stp/>
        <stp>_x0010_USD_CURVE_6M_26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1" s="23"/>
      </tp>
      <tp>
        <v>2.4808579869999998</v>
        <stp/>
        <stp>_x0010_USD_CURVE_1M_20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5" s="23"/>
      </tp>
      <tp>
        <v>2.6125807509999999</v>
        <stp/>
        <stp>_x0010_USD_CURVE_3M_22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7" s="23"/>
      </tp>
      <tp>
        <v>2.760594856</v>
        <stp/>
        <stp>_x0010_USD_CURVE_6M_27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2" s="23"/>
      </tp>
      <tp>
        <v>2.5182339469999997</v>
        <stp/>
        <stp>_x0010_USD_CURVE_1M_23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8" s="23"/>
      </tp>
      <tp>
        <v>2.5998457669999997</v>
        <stp/>
        <stp>_x0010_USD_CURVE_3M_21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6" s="23"/>
      </tp>
      <tp>
        <v>2.7346085100000002</v>
        <stp/>
        <stp>_x0010_USD_CURVE_6M_24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9" s="23"/>
      </tp>
      <tp>
        <v>2.5073981540000001</v>
        <stp/>
        <stp>_x0010_USD_CURVE_1M_22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7" s="23"/>
      </tp>
      <tp>
        <v>2.585</v>
        <stp/>
        <stp>_x0010_USD_CURVE_3M_20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5" s="23"/>
      </tp>
      <tp>
        <v>2.743929149</v>
        <stp/>
        <stp>_x0010_USD_CURVE_6M_25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0" s="23"/>
      </tp>
      <tp>
        <v>2.7799410789999999</v>
        <stp/>
        <stp>_x0010_USD_CURVE_6M_30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5" s="23"/>
      </tp>
      <tp>
        <v>2.5707702020000003</v>
        <stp/>
        <stp>_x0010_USD_CURVE_1M_30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5" s="23"/>
      </tp>
      <tp>
        <v>2.6790000000000003</v>
        <stp/>
        <stp>_x0010_USD_CURVE_3M_30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5" s="23"/>
      </tp>
      <tp>
        <v>2.6470802280000001</v>
        <stp/>
        <stp>_x0010_USD_CURVE_6M_18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3" s="23"/>
      </tp>
      <tp>
        <v>2.6674461119999999</v>
        <stp/>
        <stp>_x0010_USD_CURVE_6M_19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4" s="23"/>
      </tp>
      <tp>
        <v>2.4643603490000001</v>
        <stp/>
        <stp>_x0010_USD_CURVE_1M_19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4" s="23"/>
      </tp>
      <tp>
        <v>2.4450716749999999</v>
        <stp/>
        <stp>_x0010_USD_CURVE_1M_18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3" s="23"/>
      </tp>
      <tp>
        <v>2.5676431590000002</v>
        <stp/>
        <stp>_x0010_USD_CURVE_3M_19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4" s="23"/>
      </tp>
      <tp>
        <v>2.5473323209999998</v>
        <stp/>
        <stp>_x0010_USD_CURVE_3M_18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3" s="23"/>
      </tp>
      <tp>
        <v>2.3639521640000001</v>
        <stp/>
        <stp>_x0010_USD_CURVE_1M_15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0" s="23"/>
      </tp>
      <tp>
        <v>2.5234818020000001</v>
        <stp/>
        <stp>_x0010_USD_CURVE_3M_17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2" s="23"/>
      </tp>
      <tp>
        <v>2.42677151</v>
        <stp/>
        <stp>_x0010_USD_CURVE_6M_12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7" s="23"/>
      </tp>
      <tp>
        <v>2.3265423730000001</v>
        <stp/>
        <stp>_x0010_USD_CURVE_1M_14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9" s="23"/>
      </tp>
      <tp>
        <v>2.495884432</v>
        <stp/>
        <stp>_x0010_USD_CURVE_3M_16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1" s="23"/>
      </tp>
      <tp>
        <v>2.480214937</v>
        <stp/>
        <stp>_x0010_USD_CURVE_6M_13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8" s="23"/>
      </tp>
      <tp>
        <v>2.4222564289999999</v>
        <stp/>
        <stp>_x0010_USD_CURVE_1M_17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2" s="23"/>
      </tp>
      <tp>
        <v>2.464</v>
        <stp/>
        <stp>_x0010_USD_CURVE_3M_15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0" s="23"/>
      </tp>
      <tp>
        <v>2.2886892259999998</v>
        <stp/>
        <stp>_x0010_USD_CURVE_6M_10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5" s="23"/>
      </tp>
      <tp>
        <v>2.3954864410000001</v>
        <stp/>
        <stp>_x0010_USD_CURVE_1M_16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1" s="23"/>
      </tp>
      <tp>
        <v>2.4269758079999999</v>
        <stp/>
        <stp>_x0010_USD_CURVE_3M_14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9" s="23"/>
      </tp>
      <tp>
        <v>2.3633944059999998</v>
        <stp/>
        <stp>_x0010_USD_CURVE_6M_11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6" s="23"/>
      </tp>
      <tp>
        <v>2.1658512249999999</v>
        <stp/>
        <stp>_x0010_USD_CURVE_1M_11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6" s="23"/>
      </tp>
      <tp>
        <v>2.3837262539999999</v>
        <stp/>
        <stp>_x0010_USD_CURVE_3M_13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8" s="23"/>
      </tp>
      <tp>
        <v>2.5952802249999998</v>
        <stp/>
        <stp>_x0010_USD_CURVE_6M_16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1" s="23"/>
      </tp>
      <tp>
        <v>2.0920001259999998</v>
        <stp/>
        <stp>_x0010_USD_CURVE_1M_10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5" s="23"/>
      </tp>
      <tp>
        <v>2.3319999999999999</v>
        <stp/>
        <stp>_x0010_USD_CURVE_3M_12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7" s="23"/>
      </tp>
      <tp>
        <v>2.623129831</v>
        <stp/>
        <stp>_x0010_USD_CURVE_6M_17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2" s="23"/>
      </tp>
      <tp>
        <v>2.28223799</v>
        <stp/>
        <stp>_x0010_USD_CURVE_1M_13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8" s="23"/>
      </tp>
      <tp>
        <v>2.270663012</v>
        <stp/>
        <stp>_x0010_USD_CURVE_3M_11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6" s="23"/>
      </tp>
      <tp>
        <v>2.5248478809999999</v>
        <stp/>
        <stp>_x0010_USD_CURVE_6M_14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9" s="23"/>
      </tp>
      <tp>
        <v>2.2289795209999999</v>
        <stp/>
        <stp>_x0010_USD_CURVE_1M_12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7" s="23"/>
      </tp>
      <tp>
        <v>2.1989999999999998</v>
        <stp/>
        <stp>_x0010_USD_CURVE_3M_10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5" s="23"/>
      </tp>
      <tp>
        <v>2.5628503170000001</v>
        <stp/>
        <stp>_x0010_USD_CURVE_6M_15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0" s="23"/>
      </tp>
      <tp>
        <v>2.8994363519999999</v>
        <stp/>
        <stp>_x0011_USD_CURVE_12M_60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8" s="23"/>
      </tp>
      <tp>
        <v>2.9301724789999999</v>
        <stp/>
        <stp>_x0011_USD_CURVE_12M_40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6" s="23"/>
      </tp>
      <tp>
        <v>2.91415749</v>
        <stp/>
        <stp>_x0011_USD_CURVE_12M_50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7" s="23"/>
      </tp>
      <tp>
        <v>2.8221345869999999</v>
        <stp/>
        <stp>_x0011_USD_CURVE_12M_20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5" s="23"/>
      </tp>
      <tp>
        <v>2.9111644810000001</v>
        <stp/>
        <stp>_x0011_USD_CURVE_12M_30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5" s="23"/>
      </tp>
      <tp>
        <v>2.4383392279999998</v>
        <stp/>
        <stp>_x0011_USD_CURVE_12M_10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5" s="23"/>
      </tp>
      <tp>
        <v>2.8348543080000002</v>
        <stp/>
        <stp>_x0011_USD_CURVE_12M_21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6" s="23"/>
      </tp>
      <tp>
        <v>2.5113216679999999</v>
        <stp/>
        <stp>_x0011_USD_CURVE_12M_11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6" s="23"/>
      </tp>
      <tp>
        <v>2.8459095890000001</v>
        <stp/>
        <stp>_x0011_USD_CURVE_12M_22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7" s="23"/>
      </tp>
      <tp>
        <v>2.5739698129999997</v>
        <stp/>
        <stp>_x0011_USD_CURVE_12M_12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7" s="23"/>
      </tp>
      <tp>
        <v>2.7829380390000003</v>
        <stp/>
        <stp>_x0010_USD_CURVE_6M_50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7" s="23"/>
      </tp>
      <tp>
        <v>2.6819999999999999</v>
        <stp/>
        <stp>_x0010_USD_CURVE_3M_50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7" s="23"/>
      </tp>
      <tp>
        <v>2.5737737169999999</v>
        <stp/>
        <stp>_x0010_USD_CURVE_1M_50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7" s="23"/>
      </tp>
      <tp>
        <v>2.7989445559999999</v>
        <stp/>
        <stp>_x0010_USD_CURVE_6M_40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6" s="23"/>
      </tp>
      <tp>
        <v>2.698</v>
        <stp/>
        <stp>_x0010_USD_CURVE_3M_40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6" s="23"/>
      </tp>
      <tp>
        <v>2.5897653429999998</v>
        <stp/>
        <stp>_x0010_USD_CURVE_1M_40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6" s="23"/>
      </tp>
      <tp>
        <v>2.7682239700000002</v>
        <stp/>
        <stp>_x0010_USD_CURVE_6M_60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8" s="23"/>
      </tp>
      <tp>
        <v>2.667291369</v>
        <stp/>
        <stp>_x0010_USD_CURVE_3M_60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8" s="23"/>
      </tp>
      <tp>
        <v>2.5589095799999999</v>
        <stp/>
        <stp>_x0010_USD_CURVE_1M_60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8" s="23"/>
      </tp>
      <tp>
        <v>2.4222564289999999</v>
        <stp/>
        <stp>_x0010_USD_CURVE_1M_17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2" s="23"/>
      </tp>
      <tp>
        <v>2.464</v>
        <stp/>
        <stp>_x0010_USD_CURVE_3M_15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0" s="23"/>
      </tp>
      <tp>
        <v>2.2886892259999998</v>
        <stp/>
        <stp>_x0010_USD_CURVE_6M_10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5" s="23"/>
      </tp>
      <tp>
        <v>2.3954864410000001</v>
        <stp/>
        <stp>_x0010_USD_CURVE_1M_16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1" s="23"/>
      </tp>
      <tp>
        <v>2.4269758079999999</v>
        <stp/>
        <stp>_x0010_USD_CURVE_3M_14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9" s="23"/>
      </tp>
      <tp>
        <v>2.3633944059999998</v>
        <stp/>
        <stp>_x0010_USD_CURVE_6M_11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6" s="23"/>
      </tp>
      <tp>
        <v>2.3639521640000001</v>
        <stp/>
        <stp>_x0010_USD_CURVE_1M_15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0" s="23"/>
      </tp>
      <tp>
        <v>2.5234818020000001</v>
        <stp/>
        <stp>_x0010_USD_CURVE_3M_17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2" s="23"/>
      </tp>
      <tp>
        <v>2.42677151</v>
        <stp/>
        <stp>_x0010_USD_CURVE_6M_12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7" s="23"/>
      </tp>
      <tp>
        <v>2.3265423730000001</v>
        <stp/>
        <stp>_x0010_USD_CURVE_1M_14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9" s="23"/>
      </tp>
      <tp>
        <v>2.495884432</v>
        <stp/>
        <stp>_x0010_USD_CURVE_3M_16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1" s="23"/>
      </tp>
      <tp>
        <v>2.480214937</v>
        <stp/>
        <stp>_x0010_USD_CURVE_6M_13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8" s="23"/>
      </tp>
      <tp>
        <v>2.28223799</v>
        <stp/>
        <stp>_x0010_USD_CURVE_1M_13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8" s="23"/>
      </tp>
      <tp>
        <v>2.270663012</v>
        <stp/>
        <stp>_x0010_USD_CURVE_3M_11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6" s="23"/>
      </tp>
      <tp>
        <v>2.5248478809999999</v>
        <stp/>
        <stp>_x0010_USD_CURVE_6M_14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9" s="23"/>
      </tp>
      <tp>
        <v>2.2289795209999999</v>
        <stp/>
        <stp>_x0010_USD_CURVE_1M_12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7" s="23"/>
      </tp>
      <tp>
        <v>2.1989999999999998</v>
        <stp/>
        <stp>_x0010_USD_CURVE_3M_10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5" s="23"/>
      </tp>
      <tp>
        <v>2.5628503170000001</v>
        <stp/>
        <stp>_x0010_USD_CURVE_6M_15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0" s="23"/>
      </tp>
      <tp>
        <v>2.1658512249999999</v>
        <stp/>
        <stp>_x0010_USD_CURVE_1M_11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6" s="23"/>
      </tp>
      <tp>
        <v>2.3837262539999999</v>
        <stp/>
        <stp>_x0010_USD_CURVE_3M_13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8" s="23"/>
      </tp>
      <tp>
        <v>2.5952802249999998</v>
        <stp/>
        <stp>_x0010_USD_CURVE_6M_16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1" s="23"/>
      </tp>
      <tp>
        <v>2.0920001259999998</v>
        <stp/>
        <stp>_x0010_USD_CURVE_1M_10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5" s="23"/>
      </tp>
      <tp>
        <v>2.3319999999999999</v>
        <stp/>
        <stp>_x0010_USD_CURVE_3M_12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7" s="23"/>
      </tp>
      <tp>
        <v>2.623129831</v>
        <stp/>
        <stp>_x0010_USD_CURVE_6M_17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2" s="23"/>
      </tp>
      <tp>
        <v>2.6470802280000001</v>
        <stp/>
        <stp>_x0010_USD_CURVE_6M_18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3" s="23"/>
      </tp>
      <tp>
        <v>2.6674461119999999</v>
        <stp/>
        <stp>_x0010_USD_CURVE_6M_19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4" s="23"/>
      </tp>
      <tp>
        <v>2.5676431590000002</v>
        <stp/>
        <stp>_x0010_USD_CURVE_3M_19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4" s="23"/>
      </tp>
      <tp>
        <v>2.5473323209999998</v>
        <stp/>
        <stp>_x0010_USD_CURVE_3M_18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3" s="23"/>
      </tp>
      <tp>
        <v>2.4643603490000001</v>
        <stp/>
        <stp>_x0010_USD_CURVE_1M_19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4" s="23"/>
      </tp>
      <tp>
        <v>2.4450716749999999</v>
        <stp/>
        <stp>_x0010_USD_CURVE_1M_18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3" s="23"/>
      </tp>
      <tp>
        <v>2.7799410789999999</v>
        <stp/>
        <stp>_x0010_USD_CURVE_6M_30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5" s="23"/>
      </tp>
      <tp>
        <v>2.6790000000000003</v>
        <stp/>
        <stp>_x0010_USD_CURVE_3M_30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5" s="23"/>
      </tp>
      <tp>
        <v>2.5707702020000003</v>
        <stp/>
        <stp>_x0010_USD_CURVE_1M_30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5" s="23"/>
      </tp>
      <tp>
        <v>2.5525003699999997</v>
        <stp/>
        <stp>_x0010_USD_CURVE_1M_27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2" s="23"/>
      </tp>
      <tp>
        <v>2.6429999999999998</v>
        <stp/>
        <stp>_x0010_USD_CURVE_3M_25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0" s="23"/>
      </tp>
      <tp>
        <v>2.6848992520000001</v>
        <stp/>
        <stp>_x0010_USD_CURVE_6M_20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5" s="23"/>
      </tp>
      <tp>
        <v>2.5449873859999999</v>
        <stp/>
        <stp>_x0010_USD_CURVE_1M_26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1" s="23"/>
      </tp>
      <tp>
        <v>2.633829451</v>
        <stp/>
        <stp>_x0010_USD_CURVE_3M_24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9" s="23"/>
      </tp>
      <tp>
        <v>2.6999307510000001</v>
        <stp/>
        <stp>_x0010_USD_CURVE_6M_21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6" s="23"/>
      </tp>
      <tp>
        <v>2.5368087450000001</v>
        <stp/>
        <stp>_x0010_USD_CURVE_1M_25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0" s="23"/>
      </tp>
      <tp>
        <v>2.6595761009999999</v>
        <stp/>
        <stp>_x0010_USD_CURVE_3M_27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2" s="23"/>
      </tp>
      <tp>
        <v>2.7129028850000001</v>
        <stp/>
        <stp>_x0010_USD_CURVE_6M_22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7" s="23"/>
      </tp>
      <tp>
        <v>2.5279923540000002</v>
        <stp/>
        <stp>_x0010_USD_CURVE_1M_24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9" s="23"/>
      </tp>
      <tp>
        <v>2.6516042959999999</v>
        <stp/>
        <stp>_x0010_USD_CURVE_3M_26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1" s="23"/>
      </tp>
      <tp>
        <v>2.7243180759999999</v>
        <stp/>
        <stp>_x0010_USD_CURVE_6M_23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8" s="23"/>
      </tp>
      <tp>
        <v>2.5182339469999997</v>
        <stp/>
        <stp>_x0010_USD_CURVE_1M_23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8" s="23"/>
      </tp>
      <tp>
        <v>2.5998457669999997</v>
        <stp/>
        <stp>_x0010_USD_CURVE_3M_21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6" s="23"/>
      </tp>
      <tp>
        <v>2.7346085100000002</v>
        <stp/>
        <stp>_x0010_USD_CURVE_6M_24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9" s="23"/>
      </tp>
      <tp>
        <v>2.5073981540000001</v>
        <stp/>
        <stp>_x0010_USD_CURVE_1M_22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7" s="23"/>
      </tp>
      <tp>
        <v>2.585</v>
        <stp/>
        <stp>_x0010_USD_CURVE_3M_20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5" s="23"/>
      </tp>
      <tp>
        <v>2.743929149</v>
        <stp/>
        <stp>_x0010_USD_CURVE_6M_25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0" s="23"/>
      </tp>
      <tp>
        <v>2.4950916009999999</v>
        <stp/>
        <stp>_x0010_USD_CURVE_1M_21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6" s="23"/>
      </tp>
      <tp>
        <v>2.6237527050000002</v>
        <stp/>
        <stp>_x0010_USD_CURVE_3M_23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8" s="23"/>
      </tp>
      <tp>
        <v>2.7526071400000003</v>
        <stp/>
        <stp>_x0010_USD_CURVE_6M_26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1" s="23"/>
      </tp>
      <tp>
        <v>2.4808579869999998</v>
        <stp/>
        <stp>_x0010_USD_CURVE_1M_20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5" s="23"/>
      </tp>
      <tp>
        <v>2.6125807509999999</v>
        <stp/>
        <stp>_x0010_USD_CURVE_3M_22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7" s="23"/>
      </tp>
      <tp>
        <v>2.760594856</v>
        <stp/>
        <stp>_x0010_USD_CURVE_6M_27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2" s="23"/>
      </tp>
      <tp>
        <v>2.7678354619999999</v>
        <stp/>
        <stp>_x0010_USD_CURVE_6M_28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3" s="23"/>
      </tp>
      <tp>
        <v>2.7743417159999999</v>
        <stp/>
        <stp>_x0010_USD_CURVE_6M_29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4" s="23"/>
      </tp>
      <tp>
        <v>2.6733721639999999</v>
        <stp/>
        <stp>_x0010_USD_CURVE_3M_29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4" s="23"/>
      </tp>
      <tp>
        <v>2.6668346070000002</v>
        <stp/>
        <stp>_x0010_USD_CURVE_3M_28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3" s="23"/>
      </tp>
      <tp>
        <v>2.5654523659999997</v>
        <stp/>
        <stp>_x0010_USD_CURVE_1M_29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4" s="23"/>
      </tp>
      <tp>
        <v>2.5593129279999998</v>
        <stp/>
        <stp>_x0010_USD_CURVE_1M_28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3" s="23"/>
      </tp>
      <tp>
        <v>2.8558370599999998</v>
        <stp/>
        <stp>_x0011_USD_CURVE_12M_23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8" s="23"/>
      </tp>
      <tp>
        <v>2.6276140029999997</v>
        <stp/>
        <stp>_x0011_USD_CURVE_12M_13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8" s="23"/>
      </tp>
      <tp>
        <v>2.8650963699999998</v>
        <stp/>
        <stp>_x0011_USD_CURVE_12M_24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9" s="23"/>
      </tp>
      <tp>
        <v>2.6728974480000001</v>
        <stp/>
        <stp>_x0011_USD_CURVE_12M_14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9" s="23"/>
      </tp>
      <tp>
        <v>2.8738754279999998</v>
        <stp/>
        <stp>_x0011_USD_CURVE_12M_25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0" s="23"/>
      </tp>
      <tp>
        <v>2.7111257929999999</v>
        <stp/>
        <stp>_x0011_USD_CURVE_12M_15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0" s="23"/>
      </tp>
      <tp>
        <v>2.882474926</v>
        <stp/>
        <stp>_x0011_USD_CURVE_12M_26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1" s="23"/>
      </tp>
      <tp>
        <v>2.7424959590000002</v>
        <stp/>
        <stp>_x0011_USD_CURVE_12M_16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1" s="23"/>
      </tp>
      <tp>
        <v>1.9019999999999999</v>
        <stp/>
        <stp>_x0010_USD_CURVE_OIS_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4" s="23"/>
      </tp>
      <tp>
        <v>1.796</v>
        <stp/>
        <stp>_x0010_USD_CURVE_OIS_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3" s="23"/>
      </tp>
      <tp>
        <v>0.39</v>
        <stp/>
        <stp>_x0010_USD_CURVE_OIS_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23" s="23"/>
      </tp>
      <tp>
        <v>0.92100000000000004</v>
        <stp/>
        <stp>_x0010_USD_CURVE_OIS_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38" s="23"/>
      </tp>
      <tp>
        <v>0.66300000000000003</v>
        <stp/>
        <stp>_x0010_USD_CURVE_OIS_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37" s="23"/>
      </tp>
      <tp>
        <v>1.353</v>
        <stp/>
        <stp>_x0010_USD_CURVE_OIS_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0" s="23"/>
      </tp>
      <tp>
        <v>1.1499999999999999</v>
        <stp/>
        <stp>_x0010_USD_CURVE_OIS_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39" s="23"/>
      </tp>
      <tp>
        <v>1.6759999999999999</v>
        <stp/>
        <stp>_x0010_USD_CURVE_OIS_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2" s="23"/>
      </tp>
      <tp>
        <v>1.5289999999999999</v>
        <stp/>
        <stp>_x0010_USD_CURVE_OIS_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1" s="23"/>
      </tp>
      <tp>
        <v>2.890697254</v>
        <stp/>
        <stp>_x0011_USD_CURVE_12M_27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2" s="23"/>
      </tp>
      <tp>
        <v>2.768290935</v>
        <stp/>
        <stp>_x0011_USD_CURVE_12M_17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2" s="23"/>
      </tp>
      <tp>
        <v>0.17800000099999999</v>
        <stp/>
        <stp>_x0010_USD_CURVE_OIS_3W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1" s="23"/>
      </tp>
      <tp>
        <v>0.17099999999999999</v>
        <stp/>
        <stp>_x0010_USD_CURVE_OIS_2W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0" s="23"/>
      </tp>
      <tp>
        <v>0.15</v>
        <stp/>
        <stp>_x0010_USD_CURVE_OIS_1W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9" s="23"/>
      </tp>
      <tp>
        <v>1.6271170910000001</v>
        <stp/>
        <stp>_x000F_USD_CURVE_1M_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1" s="7"/>
      </tp>
      <tp>
        <v>1.7469999999999999</v>
        <stp/>
        <stp>_x000F_USD_CURVE_3M_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1" s="7"/>
      </tp>
      <tp>
        <v>1.827488937</v>
        <stp/>
        <stp>_x000F_USD_CURVE_6M_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1" s="7"/>
      </tp>
      <tp>
        <v>1.7770634860000001</v>
        <stp/>
        <stp>_x000F_USD_CURVE_1M_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2" s="7"/>
      </tp>
      <tp>
        <v>1.8939999999999999</v>
        <stp/>
        <stp>_x000F_USD_CURVE_3M_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2" s="7"/>
      </tp>
      <tp>
        <v>1.975537992</v>
        <stp/>
        <stp>_x000F_USD_CURVE_6M_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2" s="7"/>
      </tp>
      <tp>
        <v>1.2473364339999999</v>
        <stp/>
        <stp>_x000F_USD_CURVE_1M_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9" s="7"/>
      </tp>
      <tp>
        <v>1.3639999999999999</v>
        <stp/>
        <stp>_x000F_USD_CURVE_3M_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9" s="7"/>
      </tp>
      <tp>
        <v>1.448397317</v>
        <stp/>
        <stp>_x000F_USD_CURVE_6M_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39" s="7"/>
      </tp>
      <tp>
        <v>1.449203504</v>
        <stp/>
        <stp>_x000F_USD_CURVE_1M_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0" s="7"/>
      </tp>
      <tp>
        <v>1.57</v>
        <stp/>
        <stp>_x000F_USD_CURVE_3M_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0" s="7"/>
      </tp>
      <tp>
        <v>1.6494326349999999</v>
        <stp/>
        <stp>_x000F_USD_CURVE_6M_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0" s="7"/>
      </tp>
      <tp>
        <v>0.74465135399999993</v>
        <stp/>
        <stp>_x000F_USD_CURVE_1M_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7" s="7"/>
      </tp>
      <tp>
        <v>0.85040191300000001</v>
        <stp/>
        <stp>_x000F_USD_CURVE_3M_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7" s="7"/>
      </tp>
      <tp>
        <v>0.95169872499999997</v>
        <stp/>
        <stp>_x000F_USD_CURVE_6M_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37" s="7"/>
      </tp>
      <tp>
        <v>1.012484341</v>
        <stp/>
        <stp>_x000F_USD_CURVE_1M_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8" s="7"/>
      </tp>
      <tp>
        <v>1.123</v>
        <stp/>
        <stp>_x000F_USD_CURVE_3M_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8" s="7"/>
      </tp>
      <tp>
        <v>1.213350038</v>
        <stp/>
        <stp>_x000F_USD_CURVE_6M_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38" s="7"/>
      </tp>
      <tp>
        <v>0.45</v>
        <stp/>
        <stp>_x000F_USD_CURVE_1M_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3" s="7"/>
      </tp>
      <tp>
        <v>0.53881157699999993</v>
        <stp/>
        <stp>_x000F_USD_CURVE_3M_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3" s="7"/>
      </tp>
      <tp>
        <v>0.65595748099999995</v>
        <stp/>
        <stp>_x000F_USD_CURVE_6M_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33" s="7"/>
      </tp>
      <tp>
        <v>1.9020283570000001</v>
        <stp/>
        <stp>_x000F_USD_CURVE_1M_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3" s="7"/>
      </tp>
      <tp>
        <v>2.016</v>
        <stp/>
        <stp>_x000F_USD_CURVE_3M_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3" s="7"/>
      </tp>
      <tp>
        <v>2.0995866570000001</v>
        <stp/>
        <stp>_x000F_USD_CURVE_6M_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3" s="7"/>
      </tp>
      <tp>
        <v>2.006011955</v>
        <stp/>
        <stp>_x000F_USD_CURVE_1M_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4" s="7"/>
      </tp>
      <tp>
        <v>2.1160000000000001</v>
        <stp/>
        <stp>_x000F_USD_CURVE_3M_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4" s="7"/>
      </tp>
      <tp>
        <v>2.2016329300000002</v>
        <stp/>
        <stp>_x000F_USD_CURVE_6M_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4" s="7"/>
      </tp>
      <tp>
        <v>2.0995866570000001</v>
        <stp/>
        <stp>_x000F_USD_CURVE_6M_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3" s="7"/>
      </tp>
      <tp>
        <v>2.016</v>
        <stp/>
        <stp>_x000F_USD_CURVE_3M_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3" s="7"/>
      </tp>
      <tp>
        <v>1.9020283570000001</v>
        <stp/>
        <stp>_x000F_USD_CURVE_1M_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3" s="7"/>
      </tp>
      <tp>
        <v>2.2016329300000002</v>
        <stp/>
        <stp>_x000F_USD_CURVE_6M_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4" s="7"/>
      </tp>
      <tp>
        <v>2.1160000000000001</v>
        <stp/>
        <stp>_x000F_USD_CURVE_3M_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4" s="7"/>
      </tp>
      <tp>
        <v>2.006011955</v>
        <stp/>
        <stp>_x000F_USD_CURVE_1M_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4" s="7"/>
      </tp>
      <tp>
        <v>1.448397317</v>
        <stp/>
        <stp>_x000F_USD_CURVE_6M_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9" s="7"/>
      </tp>
      <tp>
        <v>1.3639999999999999</v>
        <stp/>
        <stp>_x000F_USD_CURVE_3M_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9" s="7"/>
      </tp>
      <tp>
        <v>1.2473364339999999</v>
        <stp/>
        <stp>_x000F_USD_CURVE_1M_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9" s="7"/>
      </tp>
      <tp>
        <v>1.6494326349999999</v>
        <stp/>
        <stp>_x000F_USD_CURVE_6M_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0" s="7"/>
      </tp>
      <tp>
        <v>1.57</v>
        <stp/>
        <stp>_x000F_USD_CURVE_3M_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0" s="7"/>
      </tp>
      <tp>
        <v>1.449203504</v>
        <stp/>
        <stp>_x000F_USD_CURVE_1M_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0" s="7"/>
      </tp>
      <tp>
        <v>1.827488937</v>
        <stp/>
        <stp>_x000F_USD_CURVE_6M_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1" s="7"/>
      </tp>
      <tp>
        <v>1.7469999999999999</v>
        <stp/>
        <stp>_x000F_USD_CURVE_3M_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1" s="7"/>
      </tp>
      <tp>
        <v>1.6271170910000001</v>
        <stp/>
        <stp>_x000F_USD_CURVE_1M_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1" s="7"/>
      </tp>
      <tp>
        <v>1.975537992</v>
        <stp/>
        <stp>_x000F_USD_CURVE_6M_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2" s="7"/>
      </tp>
      <tp>
        <v>1.8939999999999999</v>
        <stp/>
        <stp>_x000F_USD_CURVE_3M_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2" s="7"/>
      </tp>
      <tp>
        <v>1.7770634860000001</v>
        <stp/>
        <stp>_x000F_USD_CURVE_1M_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2" s="7"/>
      </tp>
      <tp>
        <v>0.65595748099999995</v>
        <stp/>
        <stp>_x000F_USD_CURVE_6M_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3" s="7"/>
      </tp>
      <tp>
        <v>0.53881157699999993</v>
        <stp/>
        <stp>_x000F_USD_CURVE_3M_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3" s="7"/>
      </tp>
      <tp>
        <v>0.45</v>
        <stp/>
        <stp>_x000F_USD_CURVE_1M_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3" s="7"/>
      </tp>
      <tp>
        <v>0.95169872499999997</v>
        <stp/>
        <stp>_x000F_USD_CURVE_6M_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7" s="7"/>
      </tp>
      <tp>
        <v>0.85040191300000001</v>
        <stp/>
        <stp>_x000F_USD_CURVE_3M_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7" s="7"/>
      </tp>
      <tp>
        <v>0.74465135399999993</v>
        <stp/>
        <stp>_x000F_USD_CURVE_1M_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7" s="7"/>
      </tp>
      <tp>
        <v>1.213350038</v>
        <stp/>
        <stp>_x000F_USD_CURVE_6M_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8" s="7"/>
      </tp>
      <tp>
        <v>1.123</v>
        <stp/>
        <stp>_x000F_USD_CURVE_3M_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8" s="7"/>
      </tp>
      <tp>
        <v>1.012484341</v>
        <stp/>
        <stp>_x000F_USD_CURVE_1M_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8" s="7"/>
      </tp>
      <tp>
        <v>0.86071860499999997</v>
        <stp/>
        <stp>_x0013_USD_CURVE_DEP12M_7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8" s="7"/>
      </tp>
      <tp>
        <v>0.86430000000000007</v>
        <stp/>
        <stp>_x0013_USD_CURVE_DEP12M_6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7" s="7"/>
      </tp>
      <tp>
        <v>0.86910000000000009</v>
        <stp/>
        <stp>_x0013_USD_CURVE_DEP12M_5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6" s="7"/>
      </tp>
      <tp>
        <v>0.87159999999999993</v>
        <stp/>
        <stp>_x0013_USD_CURVE_DEP12M_4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5" s="7"/>
      </tp>
      <tp>
        <v>0.87819235100000004</v>
        <stp/>
        <stp>_x0013_USD_CURVE_DEP12M_3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1" s="7"/>
      </tp>
      <tp>
        <v>0.86850000000000005</v>
        <stp/>
        <stp>_x0013_USD_CURVE_DEP12M_3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4" s="7"/>
      </tp>
      <tp>
        <v>0.87849970899999996</v>
        <stp/>
        <stp>_x0013_USD_CURVE_DEP12M_2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0" s="7"/>
      </tp>
      <tp>
        <v>0.873</v>
        <stp/>
        <stp>_x0013_USD_CURVE_DEP12M_2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3" s="7"/>
      </tp>
      <tp>
        <v>0.87865404300000005</v>
        <stp/>
        <stp>_x0013_USD_CURVE_DEP12M_1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9" s="7"/>
      </tp>
      <tp>
        <v>0.87730917300000011</v>
        <stp/>
        <stp>_x0013_USD_CURVE_DEP12M_1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2" s="7"/>
      </tp>
      <tp>
        <v>0.85830000000000006</v>
        <stp/>
        <stp>_x0013_USD_CURVE_DEP12M_9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20" s="7"/>
      </tp>
      <tp>
        <v>0.85901427100000005</v>
        <stp/>
        <stp>_x0013_USD_CURVE_DEP12M_8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9" s="7"/>
      </tp>
      <tp>
        <v>0.85830000000000006</v>
        <stp/>
        <stp>_x0013_USD_CURVE_DEP12M_9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20" s="7"/>
      </tp>
      <tp>
        <v>0.85901427100000005</v>
        <stp/>
        <stp>_x0013_USD_CURVE_DEP12M_8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9" s="7"/>
      </tp>
      <tp>
        <v>0.86910000000000009</v>
        <stp/>
        <stp>_x0013_USD_CURVE_DEP12M_5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6" s="7"/>
      </tp>
      <tp>
        <v>0.87159999999999993</v>
        <stp/>
        <stp>_x0013_USD_CURVE_DEP12M_4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5" s="7"/>
      </tp>
      <tp>
        <v>0.86071860499999997</v>
        <stp/>
        <stp>_x0013_USD_CURVE_DEP12M_7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8" s="7"/>
      </tp>
      <tp>
        <v>0.86430000000000007</v>
        <stp/>
        <stp>_x0013_USD_CURVE_DEP12M_6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7" s="7"/>
      </tp>
      <tp>
        <v>0.87865404300000005</v>
        <stp/>
        <stp>_x0013_USD_CURVE_DEP12M_1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9" s="7"/>
      </tp>
      <tp>
        <v>0.87730917300000011</v>
        <stp/>
        <stp>_x0013_USD_CURVE_DEP12M_1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2" s="7"/>
      </tp>
      <tp>
        <v>0.87819235100000004</v>
        <stp/>
        <stp>_x0013_USD_CURVE_DEP12M_3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1" s="7"/>
      </tp>
      <tp>
        <v>0.86850000000000005</v>
        <stp/>
        <stp>_x0013_USD_CURVE_DEP12M_3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4" s="7"/>
      </tp>
      <tp>
        <v>0.87849970899999996</v>
        <stp/>
        <stp>_x0013_USD_CURVE_DEP12M_2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0" s="7"/>
      </tp>
      <tp>
        <v>0.873</v>
        <stp/>
        <stp>_x0013_USD_CURVE_DEP12M_2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3" s="7"/>
      </tp>
      <tp>
        <v>2.006011955</v>
        <stp/>
        <stp>_x000F_USD_CURVE_1M_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4" s="23"/>
      </tp>
      <tp>
        <v>2.1160000000000001</v>
        <stp/>
        <stp>_x000F_USD_CURVE_3M_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4" s="23"/>
      </tp>
      <tp>
        <v>2.2016329300000002</v>
        <stp/>
        <stp>_x000F_USD_CURVE_6M_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4" s="23"/>
      </tp>
      <tp>
        <v>1.9020283570000001</v>
        <stp/>
        <stp>_x000F_USD_CURVE_1M_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3" s="23"/>
      </tp>
      <tp>
        <v>2.016</v>
        <stp/>
        <stp>_x000F_USD_CURVE_3M_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3" s="23"/>
      </tp>
      <tp>
        <v>2.0995866570000001</v>
        <stp/>
        <stp>_x000F_USD_CURVE_6M_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3" s="23"/>
      </tp>
      <tp>
        <v>1.7770634860000001</v>
        <stp/>
        <stp>_x000F_USD_CURVE_1M_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2" s="23"/>
      </tp>
      <tp>
        <v>1.8939999999999999</v>
        <stp/>
        <stp>_x000F_USD_CURVE_3M_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2" s="23"/>
      </tp>
      <tp>
        <v>1.975537992</v>
        <stp/>
        <stp>_x000F_USD_CURVE_6M_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2" s="23"/>
      </tp>
      <tp>
        <v>1.6271170910000001</v>
        <stp/>
        <stp>_x000F_USD_CURVE_1M_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1" s="23"/>
      </tp>
      <tp>
        <v>1.7469999999999999</v>
        <stp/>
        <stp>_x000F_USD_CURVE_3M_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1" s="23"/>
      </tp>
      <tp>
        <v>1.827488937</v>
        <stp/>
        <stp>_x000F_USD_CURVE_6M_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1" s="23"/>
      </tp>
      <tp>
        <v>1.449203504</v>
        <stp/>
        <stp>_x000F_USD_CURVE_1M_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0" s="23"/>
      </tp>
      <tp>
        <v>1.57</v>
        <stp/>
        <stp>_x000F_USD_CURVE_3M_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0" s="23"/>
      </tp>
      <tp>
        <v>1.6494326349999999</v>
        <stp/>
        <stp>_x000F_USD_CURVE_6M_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0" s="23"/>
      </tp>
      <tp>
        <v>1.2473364339999999</v>
        <stp/>
        <stp>_x000F_USD_CURVE_1M_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9" s="23"/>
      </tp>
      <tp>
        <v>1.3639999999999999</v>
        <stp/>
        <stp>_x000F_USD_CURVE_3M_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9" s="23"/>
      </tp>
      <tp>
        <v>1.448397317</v>
        <stp/>
        <stp>_x000F_USD_CURVE_6M_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39" s="23"/>
      </tp>
      <tp>
        <v>1.012484341</v>
        <stp/>
        <stp>_x000F_USD_CURVE_1M_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8" s="23"/>
      </tp>
      <tp>
        <v>1.123</v>
        <stp/>
        <stp>_x000F_USD_CURVE_3M_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8" s="23"/>
      </tp>
      <tp>
        <v>1.213350038</v>
        <stp/>
        <stp>_x000F_USD_CURVE_6M_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38" s="23"/>
      </tp>
      <tp>
        <v>0.74465135399999993</v>
        <stp/>
        <stp>_x000F_USD_CURVE_1M_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7" s="23"/>
      </tp>
      <tp>
        <v>0.85040191300000001</v>
        <stp/>
        <stp>_x000F_USD_CURVE_3M_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7" s="23"/>
      </tp>
      <tp>
        <v>0.95169872499999997</v>
        <stp/>
        <stp>_x000F_USD_CURVE_6M_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37" s="23"/>
      </tp>
      <tp>
        <v>0.45</v>
        <stp/>
        <stp>_x000F_USD_CURVE_1M_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3" s="23"/>
      </tp>
      <tp>
        <v>0.53881157699999993</v>
        <stp/>
        <stp>_x000F_USD_CURVE_3M_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3" s="23"/>
      </tp>
      <tp>
        <v>0.65595748099999995</v>
        <stp/>
        <stp>_x000F_USD_CURVE_6M_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33" s="23"/>
      </tp>
      <tp>
        <v>1.6494326349999999</v>
        <stp/>
        <stp>_x000F_USD_CURVE_6M_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0" s="23"/>
      </tp>
      <tp>
        <v>1.57</v>
        <stp/>
        <stp>_x000F_USD_CURVE_3M_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0" s="23"/>
      </tp>
      <tp>
        <v>1.449203504</v>
        <stp/>
        <stp>_x000F_USD_CURVE_1M_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0" s="23"/>
      </tp>
      <tp>
        <v>1.448397317</v>
        <stp/>
        <stp>_x000F_USD_CURVE_6M_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9" s="23"/>
      </tp>
      <tp>
        <v>1.3639999999999999</v>
        <stp/>
        <stp>_x000F_USD_CURVE_3M_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9" s="23"/>
      </tp>
      <tp>
        <v>1.2473364339999999</v>
        <stp/>
        <stp>_x000F_USD_CURVE_1M_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9" s="23"/>
      </tp>
      <tp>
        <v>1.975537992</v>
        <stp/>
        <stp>_x000F_USD_CURVE_6M_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2" s="23"/>
      </tp>
      <tp>
        <v>1.8939999999999999</v>
        <stp/>
        <stp>_x000F_USD_CURVE_3M_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2" s="23"/>
      </tp>
      <tp>
        <v>1.7770634860000001</v>
        <stp/>
        <stp>_x000F_USD_CURVE_1M_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2" s="23"/>
      </tp>
      <tp>
        <v>1.827488937</v>
        <stp/>
        <stp>_x000F_USD_CURVE_6M_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1" s="23"/>
      </tp>
      <tp>
        <v>1.7469999999999999</v>
        <stp/>
        <stp>_x000F_USD_CURVE_3M_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1" s="23"/>
      </tp>
      <tp>
        <v>1.6271170910000001</v>
        <stp/>
        <stp>_x000F_USD_CURVE_1M_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1" s="23"/>
      </tp>
      <tp>
        <v>0.65595748099999995</v>
        <stp/>
        <stp>_x000F_USD_CURVE_6M_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3" s="23"/>
      </tp>
      <tp>
        <v>0.53881157699999993</v>
        <stp/>
        <stp>_x000F_USD_CURVE_3M_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3" s="23"/>
      </tp>
      <tp>
        <v>0.45</v>
        <stp/>
        <stp>_x000F_USD_CURVE_1M_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3" s="23"/>
      </tp>
      <tp>
        <v>1.213350038</v>
        <stp/>
        <stp>_x000F_USD_CURVE_6M_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8" s="23"/>
      </tp>
      <tp>
        <v>1.123</v>
        <stp/>
        <stp>_x000F_USD_CURVE_3M_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8" s="23"/>
      </tp>
      <tp>
        <v>1.012484341</v>
        <stp/>
        <stp>_x000F_USD_CURVE_1M_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8" s="23"/>
      </tp>
      <tp>
        <v>0.95169872499999997</v>
        <stp/>
        <stp>_x000F_USD_CURVE_6M_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7" s="23"/>
      </tp>
      <tp>
        <v>0.85040191300000001</v>
        <stp/>
        <stp>_x000F_USD_CURVE_3M_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7" s="23"/>
      </tp>
      <tp>
        <v>0.74465135399999993</v>
        <stp/>
        <stp>_x000F_USD_CURVE_1M_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7" s="23"/>
      </tp>
      <tp>
        <v>2.2016329300000002</v>
        <stp/>
        <stp>_x000F_USD_CURVE_6M_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4" s="23"/>
      </tp>
      <tp>
        <v>2.1160000000000001</v>
        <stp/>
        <stp>_x000F_USD_CURVE_3M_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4" s="23"/>
      </tp>
      <tp>
        <v>2.006011955</v>
        <stp/>
        <stp>_x000F_USD_CURVE_1M_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4" s="23"/>
      </tp>
      <tp>
        <v>2.0995866570000001</v>
        <stp/>
        <stp>_x000F_USD_CURVE_6M_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3" s="23"/>
      </tp>
      <tp>
        <v>2.016</v>
        <stp/>
        <stp>_x000F_USD_CURVE_3M_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3" s="23"/>
      </tp>
      <tp>
        <v>1.9020283570000001</v>
        <stp/>
        <stp>_x000F_USD_CURVE_1M_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3" s="23"/>
      </tp>
      <tp>
        <v>99.131877005999996</v>
        <stp/>
        <stp>_x0013_USD_CURVE_FUT12M_U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25" s="7"/>
      </tp>
      <tp>
        <v>99.084715146999997</v>
        <stp/>
        <stp>_x0013_USD_CURVE_FUT12M_U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29" s="7"/>
      </tp>
      <tp>
        <v>99.144345982000004</v>
        <stp/>
        <stp>_x0013_USD_CURVE_FUT12M_Z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26" s="7"/>
      </tp>
      <tp>
        <v>98.493635072999993</v>
        <stp/>
        <stp>_x0013_USD_CURVE_FUT12M_Z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30" s="7"/>
      </tp>
      <tp>
        <v>99.154016404999993</v>
        <stp/>
        <stp>_x0013_USD_CURVE_FUT12M_M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28" s="7"/>
      </tp>
      <tp>
        <v>98.223473108999997</v>
        <stp/>
        <stp>_x0013_USD_CURVE_FUT12M_M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32" s="7"/>
      </tp>
      <tp>
        <v>99.156148411000004</v>
        <stp/>
        <stp>_x0013_USD_CURVE_FUT12M_H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27" s="7"/>
      </tp>
      <tp>
        <v>98.514343332999999</v>
        <stp/>
        <stp>_x0013_USD_CURVE_FUT12M_H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31" s="7"/>
      </tp>
      <tp>
        <v>98.223473108999997</v>
        <stp/>
        <stp>_x0013_USD_CURVE_FUT12M_M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32" s="7"/>
      </tp>
      <tp>
        <v>99.154016404999993</v>
        <stp/>
        <stp>_x0013_USD_CURVE_FUT12M_M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28" s="7"/>
      </tp>
      <tp>
        <v>98.514343332999999</v>
        <stp/>
        <stp>_x0013_USD_CURVE_FUT12M_H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31" s="7"/>
      </tp>
      <tp>
        <v>99.156148411000004</v>
        <stp/>
        <stp>_x0013_USD_CURVE_FUT12M_H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27" s="7"/>
      </tp>
      <tp>
        <v>98.493635072999993</v>
        <stp/>
        <stp>_x0013_USD_CURVE_FUT12M_Z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30" s="7"/>
      </tp>
      <tp>
        <v>99.144345982000004</v>
        <stp/>
        <stp>_x0013_USD_CURVE_FUT12M_Z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26" s="7"/>
      </tp>
      <tp>
        <v>99.084715146999997</v>
        <stp/>
        <stp>_x0013_USD_CURVE_FUT12M_U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29" s="7"/>
      </tp>
      <tp>
        <v>99.131877005999996</v>
        <stp/>
        <stp>_x0013_USD_CURVE_FUT12M_U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25" s="7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volatileDependencies" Target="volatileDependencies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SD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Libor"/>
      <sheetName val="Deposits"/>
      <sheetName val="FRA3M"/>
      <sheetName val="FRA6M"/>
      <sheetName val="FRA12M"/>
      <sheetName val="OIS"/>
      <sheetName val="Futures3M"/>
      <sheetName val="Swap1M"/>
      <sheetName val="Swap3M"/>
      <sheetName val="SwapIMM"/>
      <sheetName val="BasisSwap1MxM"/>
      <sheetName val="BasisSwap3M6M"/>
      <sheetName val="BasisSwapxM12M"/>
      <sheetName val="LiborSwapForBasisCalc"/>
      <sheetName val="FuturesHWConvAdj"/>
    </sheetNames>
    <definedNames>
      <definedName name="TriggerCounter" refersTo="='General Settings'!$D$7"/>
    </definedNames>
    <sheetDataSet>
      <sheetData sheetId="0">
        <row r="7">
          <cell r="D7">
            <v>34</v>
          </cell>
        </row>
      </sheetData>
      <sheetData sheetId="1"/>
      <sheetData sheetId="2">
        <row r="7">
          <cell r="D7" t="str">
            <v>SND</v>
          </cell>
        </row>
      </sheetData>
      <sheetData sheetId="3">
        <row r="7">
          <cell r="D7" t="str">
            <v>x6F</v>
          </cell>
        </row>
      </sheetData>
      <sheetData sheetId="4">
        <row r="7">
          <cell r="D7" t="str">
            <v>x9F</v>
          </cell>
        </row>
      </sheetData>
      <sheetData sheetId="5">
        <row r="7">
          <cell r="D7" t="str">
            <v>x15F</v>
          </cell>
        </row>
      </sheetData>
      <sheetData sheetId="6">
        <row r="7">
          <cell r="D7" t="str">
            <v>3W</v>
          </cell>
        </row>
      </sheetData>
      <sheetData sheetId="7">
        <row r="7">
          <cell r="D7" t="str">
            <v>X5</v>
          </cell>
        </row>
      </sheetData>
      <sheetData sheetId="8">
        <row r="7">
          <cell r="D7" t="str">
            <v>X1S</v>
          </cell>
        </row>
      </sheetData>
      <sheetData sheetId="9">
        <row r="7">
          <cell r="D7" t="str">
            <v>3L</v>
          </cell>
        </row>
      </sheetData>
      <sheetData sheetId="10">
        <row r="7">
          <cell r="D7">
            <v>12</v>
          </cell>
        </row>
      </sheetData>
      <sheetData sheetId="11">
        <row r="7">
          <cell r="D7" t="str">
            <v>1L</v>
          </cell>
        </row>
      </sheetData>
      <sheetData sheetId="12">
        <row r="7">
          <cell r="D7" t="str">
            <v>3L</v>
          </cell>
        </row>
      </sheetData>
      <sheetData sheetId="13">
        <row r="7">
          <cell r="D7" t="str">
            <v>3L</v>
          </cell>
        </row>
      </sheetData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E32"/>
  <sheetViews>
    <sheetView showGridLines="0" workbookViewId="0">
      <selection activeCell="D4" sqref="D4"/>
    </sheetView>
  </sheetViews>
  <sheetFormatPr defaultRowHeight="13.5" x14ac:dyDescent="0.25"/>
  <cols>
    <col min="1" max="2" width="2.7109375" style="157" customWidth="1"/>
    <col min="3" max="3" width="23.42578125" style="157" bestFit="1" customWidth="1"/>
    <col min="4" max="4" width="28.5703125" style="157" bestFit="1" customWidth="1"/>
    <col min="5" max="5" width="2.7109375" style="157" customWidth="1"/>
    <col min="6" max="6" width="3.42578125" style="157" customWidth="1"/>
    <col min="7" max="16384" width="9.140625" style="157"/>
  </cols>
  <sheetData>
    <row r="1" spans="2:5" s="2" customFormat="1" ht="12" thickBot="1" x14ac:dyDescent="0.25">
      <c r="B1" s="2" t="str">
        <f>_xll.qlxlVersion(TRUE)</f>
        <v>QuantLibXL 1.6.0 - MS VC++ (version unknown) - Multithreaded Dynamic Runtime library - Release Configuration - Aug 26 2015 16:44:26</v>
      </c>
    </row>
    <row r="2" spans="2:5" ht="19.5" x14ac:dyDescent="0.35">
      <c r="B2" s="31" t="s">
        <v>4</v>
      </c>
      <c r="C2" s="32"/>
      <c r="D2" s="32"/>
      <c r="E2" s="30"/>
    </row>
    <row r="3" spans="2:5" s="2" customFormat="1" ht="11.25" x14ac:dyDescent="0.2">
      <c r="B3" s="125"/>
      <c r="C3" s="126"/>
      <c r="D3" s="126"/>
      <c r="E3" s="127"/>
    </row>
    <row r="4" spans="2:5" s="2" customFormat="1" ht="11.25" x14ac:dyDescent="0.2">
      <c r="B4" s="125"/>
      <c r="C4" s="128" t="s">
        <v>5</v>
      </c>
      <c r="D4" s="183">
        <v>42255.657384259262</v>
      </c>
      <c r="E4" s="127"/>
    </row>
    <row r="5" spans="2:5" s="2" customFormat="1" ht="11.25" x14ac:dyDescent="0.2">
      <c r="B5" s="125"/>
      <c r="C5" s="146" t="s">
        <v>12</v>
      </c>
      <c r="D5" s="147">
        <f>_xll.qlSettingsEvaluationDate(Trigger)</f>
        <v>42255</v>
      </c>
      <c r="E5" s="127"/>
    </row>
    <row r="6" spans="2:5" s="2" customFormat="1" ht="11.25" x14ac:dyDescent="0.2">
      <c r="B6" s="125"/>
      <c r="C6" s="148" t="s">
        <v>44</v>
      </c>
      <c r="D6" s="149">
        <f>[1]!TriggerCounter</f>
        <v>34</v>
      </c>
      <c r="E6" s="127"/>
    </row>
    <row r="7" spans="2:5" s="2" customFormat="1" ht="12" thickBot="1" x14ac:dyDescent="0.25">
      <c r="B7" s="122"/>
      <c r="C7" s="123"/>
      <c r="D7" s="123"/>
      <c r="E7" s="124"/>
    </row>
    <row r="8" spans="2:5" ht="14.25" thickBot="1" x14ac:dyDescent="0.3"/>
    <row r="9" spans="2:5" ht="16.5" x14ac:dyDescent="0.3">
      <c r="B9" s="31" t="s">
        <v>3</v>
      </c>
      <c r="C9" s="32"/>
      <c r="D9" s="32"/>
      <c r="E9" s="33"/>
    </row>
    <row r="10" spans="2:5" s="2" customFormat="1" ht="11.25" x14ac:dyDescent="0.2">
      <c r="B10" s="125"/>
      <c r="C10" s="126"/>
      <c r="D10" s="126"/>
      <c r="E10" s="127"/>
    </row>
    <row r="11" spans="2:5" s="2" customFormat="1" ht="11.25" x14ac:dyDescent="0.2">
      <c r="B11" s="125"/>
      <c r="C11" s="145" t="s">
        <v>6</v>
      </c>
      <c r="D11" s="150" t="s">
        <v>108</v>
      </c>
      <c r="E11" s="127"/>
    </row>
    <row r="12" spans="2:5" s="2" customFormat="1" ht="11.25" x14ac:dyDescent="0.2">
      <c r="B12" s="125"/>
      <c r="C12" s="146" t="s">
        <v>59</v>
      </c>
      <c r="D12" s="151" t="str">
        <f>Currency&amp;"ON"</f>
        <v>USDON</v>
      </c>
      <c r="E12" s="127"/>
    </row>
    <row r="13" spans="2:5" s="2" customFormat="1" ht="11.25" x14ac:dyDescent="0.2">
      <c r="B13" s="125"/>
      <c r="C13" s="146" t="s">
        <v>11</v>
      </c>
      <c r="D13" s="152" t="str">
        <f>PROPER(Currency)&amp;IF(UPPER(Currency)="EUR","","L")&amp;"ibor"</f>
        <v>UsdLibor</v>
      </c>
      <c r="E13" s="127"/>
    </row>
    <row r="14" spans="2:5" s="2" customFormat="1" ht="11.25" x14ac:dyDescent="0.2">
      <c r="B14" s="125"/>
      <c r="C14" s="146" t="s">
        <v>9</v>
      </c>
      <c r="D14" s="153">
        <v>2</v>
      </c>
      <c r="E14" s="127"/>
    </row>
    <row r="15" spans="2:5" s="2" customFormat="1" ht="11.25" x14ac:dyDescent="0.2">
      <c r="B15" s="125"/>
      <c r="C15" s="146" t="s">
        <v>115</v>
      </c>
      <c r="D15" s="153">
        <v>0</v>
      </c>
      <c r="E15" s="127"/>
    </row>
    <row r="16" spans="2:5" s="2" customFormat="1" ht="11.25" x14ac:dyDescent="0.2">
      <c r="B16" s="125"/>
      <c r="C16" s="146" t="s">
        <v>56</v>
      </c>
      <c r="D16" s="152" t="s">
        <v>110</v>
      </c>
      <c r="E16" s="127"/>
    </row>
    <row r="17" spans="2:5" s="2" customFormat="1" ht="11.25" x14ac:dyDescent="0.2">
      <c r="B17" s="125"/>
      <c r="C17" s="146" t="s">
        <v>57</v>
      </c>
      <c r="D17" s="152" t="s">
        <v>109</v>
      </c>
      <c r="E17" s="127"/>
    </row>
    <row r="18" spans="2:5" s="2" customFormat="1" ht="11.25" x14ac:dyDescent="0.2">
      <c r="B18" s="125"/>
      <c r="C18" s="146" t="s">
        <v>55</v>
      </c>
      <c r="D18" s="152" t="b">
        <f>_xll.qlCalendarIsHoliday(LocalCalendar,_xll.qlCalendarAdvance(LiborCalendar,EvaluationDate,SettlementDays&amp;"D","f",FALSE,))</f>
        <v>0</v>
      </c>
      <c r="E18" s="127"/>
    </row>
    <row r="19" spans="2:5" s="2" customFormat="1" ht="11.25" x14ac:dyDescent="0.2">
      <c r="B19" s="125"/>
      <c r="C19" s="146" t="s">
        <v>7</v>
      </c>
      <c r="D19" s="152" t="str">
        <f>IF(D18,LocalCalendar,LiborCalendar)</f>
        <v>UnitedKingdom::Exchange</v>
      </c>
      <c r="E19" s="127"/>
    </row>
    <row r="20" spans="2:5" s="2" customFormat="1" ht="11.25" x14ac:dyDescent="0.2">
      <c r="B20" s="125"/>
      <c r="C20" s="154" t="s">
        <v>10</v>
      </c>
      <c r="D20" s="155">
        <f>_xll.qlCalendarAdvance(Calendar,EvaluationDate,SettlementDays&amp;"d","following",FALSE)</f>
        <v>42257</v>
      </c>
      <c r="E20" s="127"/>
    </row>
    <row r="21" spans="2:5" s="2" customFormat="1" ht="11.25" x14ac:dyDescent="0.2">
      <c r="B21" s="125"/>
      <c r="C21" s="154" t="s">
        <v>292</v>
      </c>
      <c r="D21" s="155" t="str">
        <f>IF(_xll.qlCalendarIsHoliday(LiborCalendar,_xll.qlSettingsEvaluationDate(),Trigger),"1D","0D")</f>
        <v>0D</v>
      </c>
      <c r="E21" s="127"/>
    </row>
    <row r="22" spans="2:5" s="2" customFormat="1" ht="11.25" x14ac:dyDescent="0.2">
      <c r="B22" s="125"/>
      <c r="C22" s="154" t="s">
        <v>293</v>
      </c>
      <c r="D22" s="155">
        <f>_xll.qlCalendarAdvance(Calendar,SettlementDate,$D$21,"following")</f>
        <v>42257</v>
      </c>
      <c r="E22" s="127"/>
    </row>
    <row r="23" spans="2:5" s="2" customFormat="1" ht="11.25" x14ac:dyDescent="0.2">
      <c r="B23" s="125"/>
      <c r="C23" s="148" t="s">
        <v>40</v>
      </c>
      <c r="D23" s="156" t="s">
        <v>41</v>
      </c>
      <c r="E23" s="127"/>
    </row>
    <row r="24" spans="2:5" s="2" customFormat="1" ht="12" thickBot="1" x14ac:dyDescent="0.25">
      <c r="B24" s="122"/>
      <c r="C24" s="123"/>
      <c r="D24" s="123"/>
      <c r="E24" s="124"/>
    </row>
    <row r="27" spans="2:5" ht="11.25" customHeight="1" x14ac:dyDescent="0.25"/>
    <row r="28" spans="2:5" ht="11.25" customHeight="1" x14ac:dyDescent="0.25"/>
    <row r="29" spans="2:5" ht="11.25" customHeight="1" x14ac:dyDescent="0.25"/>
    <row r="30" spans="2:5" ht="11.25" customHeight="1" x14ac:dyDescent="0.25"/>
    <row r="31" spans="2:5" ht="11.25" customHeight="1" x14ac:dyDescent="0.25"/>
    <row r="32" spans="2:5" ht="11.25" customHeight="1" x14ac:dyDescent="0.25"/>
  </sheetData>
  <dataValidations count="3">
    <dataValidation type="list" allowBlank="1" showInputMessage="1" showErrorMessage="1" sqref="D16:D17">
      <formula1>"TARGET,UnitedKingdom::Exchange,UnitedKingdom::Metals,UnitedKingdom::Settlement,UnitedStates::GovernmentBond,UnitedStates::NERC,UnitedStates::NYSE,UnitedStates::Settlement,Switzerland,Japan,Italy::Exchange,NullCalendar,Australia,China,HongKong::HKEx"</formula1>
    </dataValidation>
    <dataValidation type="list" allowBlank="1" showInputMessage="1" showErrorMessage="1" sqref="D23">
      <formula1>"BackwardFlat,ForwardFlat,Linear,Parabolic,MonotonicParabolic,CubicNaturalSpline,MonotonicCubicNaturalSpline,KrugerCubic,FritschButlandCubic,Abcd"</formula1>
    </dataValidation>
    <dataValidation type="list" allowBlank="1" showInputMessage="1" showErrorMessage="1" sqref="D11">
      <formula1>"EUR,USD,GBP,JPY,CHF,AUD,CNY,CNH,HKD,RMB"</formula1>
    </dataValidation>
  </dataValidations>
  <pageMargins left="0.7" right="0.7" top="0.75" bottom="0.75" header="0.3" footer="0.3"/>
  <pageSetup paperSize="9" orientation="portrait" r:id="rId1"/>
  <ignoredErrors>
    <ignoredError sqref="D19:D20 D12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2:AN68"/>
  <sheetViews>
    <sheetView showGridLines="0" tabSelected="1" workbookViewId="0">
      <pane xSplit="9" topLeftCell="J1" activePane="topRight" state="frozen"/>
      <selection pane="topRight" activeCell="C2" sqref="C2"/>
    </sheetView>
  </sheetViews>
  <sheetFormatPr defaultColWidth="3" defaultRowHeight="11.25" x14ac:dyDescent="0.2"/>
  <cols>
    <col min="1" max="1" width="3" style="2"/>
    <col min="2" max="2" width="11" style="2" bestFit="1" customWidth="1"/>
    <col min="3" max="8" width="11.28515625" style="2" customWidth="1"/>
    <col min="9" max="9" width="2.7109375" style="3" customWidth="1"/>
    <col min="10" max="10" width="26.5703125" style="2" bestFit="1" customWidth="1"/>
    <col min="11" max="12" width="11" style="99" bestFit="1" customWidth="1"/>
    <col min="13" max="13" width="26.5703125" style="2" bestFit="1" customWidth="1"/>
    <col min="14" max="14" width="9.28515625" style="99" customWidth="1"/>
    <col min="15" max="15" width="9.28515625" style="100" customWidth="1"/>
    <col min="16" max="16" width="26.5703125" style="2" bestFit="1" customWidth="1"/>
    <col min="17" max="18" width="8.28515625" style="100" customWidth="1"/>
    <col min="19" max="19" width="26.5703125" style="2" bestFit="1" customWidth="1"/>
    <col min="20" max="21" width="8.28515625" style="100" customWidth="1"/>
    <col min="22" max="22" width="24.42578125" style="2" bestFit="1" customWidth="1"/>
    <col min="23" max="24" width="8.28515625" style="99" customWidth="1"/>
    <col min="25" max="25" width="18.28515625" style="99" bestFit="1" customWidth="1"/>
    <col min="26" max="27" width="8.28515625" style="99" customWidth="1"/>
    <col min="28" max="28" width="2.7109375" style="2" customWidth="1"/>
    <col min="29" max="29" width="10" style="2" customWidth="1"/>
    <col min="30" max="30" width="10" style="3" customWidth="1"/>
    <col min="31" max="31" width="10" style="2" customWidth="1"/>
    <col min="32" max="32" width="10" style="3" customWidth="1"/>
    <col min="33" max="33" width="10" style="2" customWidth="1"/>
    <col min="34" max="34" width="10" style="3" customWidth="1"/>
    <col min="35" max="35" width="10" style="2" customWidth="1"/>
    <col min="36" max="36" width="10" style="3" customWidth="1"/>
    <col min="37" max="37" width="10" style="2" bestFit="1" customWidth="1"/>
    <col min="38" max="38" width="10" style="3" bestFit="1" customWidth="1"/>
    <col min="39" max="39" width="10" style="2" bestFit="1" customWidth="1"/>
    <col min="40" max="40" width="10" style="3" bestFit="1" customWidth="1"/>
    <col min="41" max="45" width="14.42578125" style="2" customWidth="1"/>
    <col min="46" max="16384" width="3" style="2"/>
  </cols>
  <sheetData>
    <row r="2" spans="1:40" ht="11.25" customHeight="1" x14ac:dyDescent="0.2">
      <c r="B2" s="44" t="s">
        <v>8</v>
      </c>
      <c r="C2" s="24"/>
      <c r="D2" s="9" t="s">
        <v>2</v>
      </c>
      <c r="E2" s="9">
        <v>0</v>
      </c>
      <c r="F2" s="25" t="s">
        <v>0</v>
      </c>
      <c r="G2" s="8" t="s">
        <v>1</v>
      </c>
      <c r="I2" s="2"/>
      <c r="AD2" s="2"/>
      <c r="AF2" s="2"/>
      <c r="AH2" s="2"/>
      <c r="AJ2" s="2"/>
      <c r="AL2" s="2"/>
      <c r="AN2" s="2"/>
    </row>
    <row r="3" spans="1:40" ht="11.25" customHeight="1" x14ac:dyDescent="0.2">
      <c r="C3" s="41"/>
      <c r="D3" s="42"/>
      <c r="I3" s="2"/>
      <c r="AD3" s="2"/>
      <c r="AF3" s="2"/>
      <c r="AH3" s="2"/>
      <c r="AJ3" s="2"/>
      <c r="AL3" s="2"/>
      <c r="AN3" s="2"/>
    </row>
    <row r="4" spans="1:40" ht="11.25" customHeight="1" x14ac:dyDescent="0.2">
      <c r="B4" s="43" t="s">
        <v>62</v>
      </c>
      <c r="C4" s="39"/>
      <c r="D4" s="17"/>
      <c r="E4" s="17"/>
      <c r="F4" s="40"/>
      <c r="G4" s="40"/>
      <c r="H4" s="40"/>
      <c r="I4" s="2" t="s">
        <v>46</v>
      </c>
      <c r="J4" s="129" t="s">
        <v>16</v>
      </c>
      <c r="K4" s="130"/>
      <c r="L4" s="131"/>
      <c r="M4" s="129" t="s">
        <v>18</v>
      </c>
      <c r="N4" s="130"/>
      <c r="O4" s="131"/>
      <c r="P4" s="129" t="s">
        <v>13</v>
      </c>
      <c r="Q4" s="130"/>
      <c r="R4" s="131"/>
      <c r="S4" s="129" t="s">
        <v>22</v>
      </c>
      <c r="T4" s="130"/>
      <c r="U4" s="131"/>
      <c r="V4" s="129" t="s">
        <v>14</v>
      </c>
      <c r="W4" s="130"/>
      <c r="X4" s="131"/>
      <c r="Y4" s="129" t="s">
        <v>291</v>
      </c>
      <c r="Z4" s="130"/>
      <c r="AA4" s="131"/>
      <c r="AB4" s="38" t="s">
        <v>46</v>
      </c>
      <c r="AC4" s="39" t="s">
        <v>16</v>
      </c>
      <c r="AD4" s="40"/>
      <c r="AE4" s="39" t="s">
        <v>18</v>
      </c>
      <c r="AF4" s="40"/>
      <c r="AG4" s="39" t="s">
        <v>13</v>
      </c>
      <c r="AH4" s="40"/>
      <c r="AI4" s="39" t="s">
        <v>22</v>
      </c>
      <c r="AJ4" s="40"/>
      <c r="AK4" s="39" t="s">
        <v>14</v>
      </c>
      <c r="AL4" s="40"/>
      <c r="AM4" s="39" t="s">
        <v>291</v>
      </c>
      <c r="AN4" s="40"/>
    </row>
    <row r="5" spans="1:40" s="18" customFormat="1" ht="11.25" customHeight="1" x14ac:dyDescent="0.2">
      <c r="A5" s="2"/>
      <c r="B5" s="7" t="s">
        <v>58</v>
      </c>
      <c r="C5" s="7" t="s">
        <v>16</v>
      </c>
      <c r="D5" s="7" t="s">
        <v>18</v>
      </c>
      <c r="E5" s="7" t="s">
        <v>13</v>
      </c>
      <c r="F5" s="7" t="s">
        <v>22</v>
      </c>
      <c r="G5" s="7" t="s">
        <v>14</v>
      </c>
      <c r="H5" s="7" t="s">
        <v>291</v>
      </c>
      <c r="I5" s="18" t="s">
        <v>46</v>
      </c>
      <c r="J5" s="19" t="s">
        <v>43</v>
      </c>
      <c r="K5" s="11" t="s">
        <v>0</v>
      </c>
      <c r="L5" s="11" t="s">
        <v>1</v>
      </c>
      <c r="M5" s="19" t="s">
        <v>43</v>
      </c>
      <c r="N5" s="11" t="s">
        <v>0</v>
      </c>
      <c r="O5" s="10" t="s">
        <v>1</v>
      </c>
      <c r="P5" s="19" t="s">
        <v>43</v>
      </c>
      <c r="Q5" s="10" t="s">
        <v>0</v>
      </c>
      <c r="R5" s="10" t="s">
        <v>1</v>
      </c>
      <c r="S5" s="19" t="s">
        <v>43</v>
      </c>
      <c r="T5" s="10" t="s">
        <v>0</v>
      </c>
      <c r="U5" s="10" t="s">
        <v>1</v>
      </c>
      <c r="V5" s="19" t="s">
        <v>43</v>
      </c>
      <c r="W5" s="11" t="s">
        <v>0</v>
      </c>
      <c r="X5" s="11" t="s">
        <v>1</v>
      </c>
      <c r="Y5" s="19" t="s">
        <v>43</v>
      </c>
      <c r="Z5" s="11" t="s">
        <v>0</v>
      </c>
      <c r="AA5" s="11" t="s">
        <v>1</v>
      </c>
      <c r="AB5" s="38" t="s">
        <v>46</v>
      </c>
      <c r="AC5" s="7" t="s">
        <v>47</v>
      </c>
      <c r="AD5" s="7" t="s">
        <v>48</v>
      </c>
      <c r="AE5" s="7" t="s">
        <v>47</v>
      </c>
      <c r="AF5" s="7" t="s">
        <v>48</v>
      </c>
      <c r="AG5" s="7" t="s">
        <v>47</v>
      </c>
      <c r="AH5" s="7" t="s">
        <v>48</v>
      </c>
      <c r="AI5" s="7" t="s">
        <v>47</v>
      </c>
      <c r="AJ5" s="7" t="s">
        <v>48</v>
      </c>
      <c r="AK5" s="7" t="s">
        <v>47</v>
      </c>
      <c r="AL5" s="7" t="s">
        <v>48</v>
      </c>
      <c r="AM5" s="7" t="s">
        <v>47</v>
      </c>
      <c r="AN5" s="7" t="s">
        <v>48</v>
      </c>
    </row>
    <row r="6" spans="1:40" ht="11.25" customHeight="1" x14ac:dyDescent="0.2">
      <c r="A6" s="194" t="s">
        <v>106</v>
      </c>
      <c r="B6" s="48" t="s">
        <v>14</v>
      </c>
      <c r="C6" s="83" t="s">
        <v>46</v>
      </c>
      <c r="D6" s="134" t="s">
        <v>46</v>
      </c>
      <c r="E6" s="83" t="s">
        <v>46</v>
      </c>
      <c r="F6" s="83" t="s">
        <v>46</v>
      </c>
      <c r="G6" s="135" t="s">
        <v>46</v>
      </c>
      <c r="H6" s="135" t="s">
        <v>46</v>
      </c>
      <c r="I6" s="18" t="s">
        <v>46</v>
      </c>
      <c r="J6" s="112" t="str">
        <f t="array" ref="J6:J68">IF('1M Pricing'!J6:J68="","",'1M Pricing'!J6:J68)</f>
        <v/>
      </c>
      <c r="K6" s="113" t="str">
        <f>IF(J6="","",'1M Pricing'!$I6*100)</f>
        <v/>
      </c>
      <c r="L6" s="113" t="str">
        <f>K6</f>
        <v/>
      </c>
      <c r="M6" s="114" t="str">
        <f t="array" ref="M6:M68">IF('3M Pricing'!J6:J68="","",'3M Pricing'!J6:J68)</f>
        <v/>
      </c>
      <c r="N6" s="113" t="str">
        <f>IF(M6="","",'3M Pricing'!$I6*100)</f>
        <v/>
      </c>
      <c r="O6" s="113" t="str">
        <f>N6</f>
        <v/>
      </c>
      <c r="P6" s="114" t="str">
        <f t="array" ref="P6:P68">IF('6M Pricing'!J6:J68="","",'6M Pricing'!J6:J68)</f>
        <v/>
      </c>
      <c r="Q6" s="113" t="str">
        <f>IF(P6="","",'6M Pricing'!$I6*100)</f>
        <v/>
      </c>
      <c r="R6" s="113" t="str">
        <f>Q6</f>
        <v/>
      </c>
      <c r="S6" s="114" t="str">
        <f t="array" ref="S6:S68">IF('1Y Pricing'!J6:J68="","",'1Y Pricing'!J6:J68)</f>
        <v/>
      </c>
      <c r="T6" s="113" t="str">
        <f>IF(S6="","",'1Y Pricing'!$I6*100)</f>
        <v/>
      </c>
      <c r="U6" s="113" t="str">
        <f>T6</f>
        <v/>
      </c>
      <c r="V6" s="112" t="str">
        <f t="array" ref="V6:V68">IF('ON Pricing'!H6:H68="","",'ON Pricing'!H6:H68)</f>
        <v/>
      </c>
      <c r="W6" s="113" t="str">
        <f>IF(V6="","",'ON Pricing'!$G6*100)</f>
        <v/>
      </c>
      <c r="X6" s="113" t="str">
        <f>W6</f>
        <v/>
      </c>
      <c r="Y6" s="112"/>
      <c r="Z6" s="113" t="str">
        <f>IF(Y6="","",'STD Pricing'!$G6*100)</f>
        <v/>
      </c>
      <c r="AA6" s="113" t="str">
        <f>Z6</f>
        <v/>
      </c>
      <c r="AB6" s="23" t="s">
        <v>46</v>
      </c>
      <c r="AC6" s="141" t="str">
        <f>IF($C6=" ","",ROUND(ABS(_xll.RtGet(SourceAlias,$J6,BID)-K6),4))</f>
        <v/>
      </c>
      <c r="AD6" s="141" t="str">
        <f>IF($C6=" ","",ROUND(ABS(_xll.RtGet(SourceAlias,$J6,ASK)-L6),4))</f>
        <v/>
      </c>
      <c r="AE6" s="141" t="str">
        <f>IF($D6=" ","",ROUND(ABS(_xll.RtGet(SourceAlias,$M6,BID)-N6),4))</f>
        <v/>
      </c>
      <c r="AF6" s="141" t="str">
        <f>IF($D6=" ","",ROUND(ABS(_xll.RtGet(SourceAlias,$M6,ASK)-O6),4))</f>
        <v/>
      </c>
      <c r="AG6" s="141" t="str">
        <f>IF($E6=" ","",ROUND(ABS(_xll.RtGet(SourceAlias,$P6,BID)-Q6),4))</f>
        <v/>
      </c>
      <c r="AH6" s="141" t="str">
        <f>IF($E6=" ","",ROUND(ABS(_xll.RtGet(SourceAlias,$P6,ASK)-R6),4))</f>
        <v/>
      </c>
      <c r="AI6" s="141" t="str">
        <f>IF($F6=" ","",ROUND(ABS(_xll.RtGet(SourceAlias,$S6,BID)-T6),4))</f>
        <v/>
      </c>
      <c r="AJ6" s="141" t="str">
        <f>IF($F6=" ","",ROUND(ABS(_xll.RtGet(SourceAlias,$S6,ASK)-U6),4))</f>
        <v/>
      </c>
      <c r="AK6" s="141" t="str">
        <f>IF($G6=" ","",ROUND(ABS(_xll.RtGet(SourceAlias,$V6,BID)-W6),4))</f>
        <v/>
      </c>
      <c r="AL6" s="141" t="str">
        <f>IF($G6=" ","",ROUND(ABS(_xll.RtGet(SourceAlias,$V6,ASK)-X6),4))</f>
        <v/>
      </c>
      <c r="AM6" s="141"/>
      <c r="AN6" s="141"/>
    </row>
    <row r="7" spans="1:40" ht="11.25" customHeight="1" x14ac:dyDescent="0.2">
      <c r="A7" s="195"/>
      <c r="B7" s="50" t="s">
        <v>96</v>
      </c>
      <c r="C7" s="89" t="s">
        <v>46</v>
      </c>
      <c r="D7" s="137" t="s">
        <v>46</v>
      </c>
      <c r="E7" s="89" t="s">
        <v>46</v>
      </c>
      <c r="F7" s="89" t="s">
        <v>46</v>
      </c>
      <c r="G7" s="138" t="s">
        <v>46</v>
      </c>
      <c r="H7" s="138" t="s">
        <v>46</v>
      </c>
      <c r="I7" s="18" t="s">
        <v>46</v>
      </c>
      <c r="J7" s="121" t="str">
        <v/>
      </c>
      <c r="K7" s="119" t="str">
        <f>IF(J7="","",'1M Pricing'!$I7*100)</f>
        <v/>
      </c>
      <c r="L7" s="119" t="str">
        <f t="shared" ref="L7:L37" si="0">K7</f>
        <v/>
      </c>
      <c r="M7" s="118" t="str">
        <v/>
      </c>
      <c r="N7" s="119" t="str">
        <f>IF(M7="","",'3M Pricing'!$I7*100)</f>
        <v/>
      </c>
      <c r="O7" s="119" t="str">
        <f t="shared" ref="O7:O37" si="1">N7</f>
        <v/>
      </c>
      <c r="P7" s="118" t="str">
        <v/>
      </c>
      <c r="Q7" s="119" t="str">
        <f>IF(P7="","",'6M Pricing'!$I7*100)</f>
        <v/>
      </c>
      <c r="R7" s="119" t="str">
        <f t="shared" ref="R7:R37" si="2">Q7</f>
        <v/>
      </c>
      <c r="S7" s="118" t="str">
        <v/>
      </c>
      <c r="T7" s="119" t="str">
        <f>IF(S7="","",'1Y Pricing'!$I7*100)</f>
        <v/>
      </c>
      <c r="U7" s="119" t="str">
        <f t="shared" ref="U7:U37" si="3">T7</f>
        <v/>
      </c>
      <c r="V7" s="121" t="str">
        <v/>
      </c>
      <c r="W7" s="119" t="str">
        <f>IF(V7="","",'ON Pricing'!$G7*100)</f>
        <v/>
      </c>
      <c r="X7" s="119" t="str">
        <f t="shared" ref="X7:X37" si="4">W7</f>
        <v/>
      </c>
      <c r="Y7" s="121"/>
      <c r="Z7" s="119" t="str">
        <f>IF(Y7="","",'STD Pricing'!$G7*100)</f>
        <v/>
      </c>
      <c r="AA7" s="119" t="str">
        <f t="shared" ref="AA7:AA68" si="5">Z7</f>
        <v/>
      </c>
      <c r="AB7" s="23" t="s">
        <v>46</v>
      </c>
      <c r="AC7" s="144" t="str">
        <f>IF($C7=" ","",ROUND(ABS(_xll.RtGet(SourceAlias,$J7,BID)-K7),4))</f>
        <v/>
      </c>
      <c r="AD7" s="144" t="str">
        <f>IF($C7=" ","",ROUND(ABS(_xll.RtGet(SourceAlias,$J7,ASK)-L7),4))</f>
        <v/>
      </c>
      <c r="AE7" s="144" t="str">
        <f>IF($D7=" ","",ROUND(ABS(_xll.RtGet(SourceAlias,$M7,BID)-N7),4))</f>
        <v/>
      </c>
      <c r="AF7" s="144" t="str">
        <f>IF($D7=" ","",ROUND(ABS(_xll.RtGet(SourceAlias,$M7,ASK)-O7),4))</f>
        <v/>
      </c>
      <c r="AG7" s="144" t="str">
        <f>IF($E7=" ","",ROUND(ABS(_xll.RtGet(SourceAlias,$P7,BID)-Q7),4))</f>
        <v/>
      </c>
      <c r="AH7" s="144" t="str">
        <f>IF($E7=" ","",ROUND(ABS(_xll.RtGet(SourceAlias,$P7,ASK)-R7),4))</f>
        <v/>
      </c>
      <c r="AI7" s="144" t="str">
        <f>IF($F7=" ","",ROUND(ABS(_xll.RtGet(SourceAlias,$S7,BID)-T7),4))</f>
        <v/>
      </c>
      <c r="AJ7" s="144" t="str">
        <f>IF($F7=" ","",ROUND(ABS(_xll.RtGet(SourceAlias,$S7,ASK)-U7),4))</f>
        <v/>
      </c>
      <c r="AK7" s="144" t="str">
        <f>IF($G7=" ","",ROUND(ABS(_xll.RtGet(SourceAlias,$V7,BID)-W7),4))</f>
        <v/>
      </c>
      <c r="AL7" s="144" t="str">
        <f>IF($G7=" ","",ROUND(ABS(_xll.RtGet(SourceAlias,$V7,ASK)-X7),4))</f>
        <v/>
      </c>
      <c r="AM7" s="144"/>
      <c r="AN7" s="144"/>
    </row>
    <row r="8" spans="1:40" ht="11.25" customHeight="1" x14ac:dyDescent="0.2">
      <c r="A8" s="195"/>
      <c r="B8" s="48" t="s">
        <v>97</v>
      </c>
      <c r="C8" s="83" t="s">
        <v>46</v>
      </c>
      <c r="D8" s="83" t="s">
        <v>46</v>
      </c>
      <c r="E8" s="83" t="s">
        <v>46</v>
      </c>
      <c r="F8" s="83" t="s">
        <v>46</v>
      </c>
      <c r="G8" s="135" t="s">
        <v>46</v>
      </c>
      <c r="H8" s="135" t="s">
        <v>46</v>
      </c>
      <c r="I8" s="18" t="s">
        <v>46</v>
      </c>
      <c r="J8" s="112" t="str">
        <v/>
      </c>
      <c r="K8" s="113" t="str">
        <f>IF(J8="","",'1M Pricing'!$I8*100)</f>
        <v/>
      </c>
      <c r="L8" s="113" t="str">
        <f t="shared" si="0"/>
        <v/>
      </c>
      <c r="M8" s="114" t="str">
        <v/>
      </c>
      <c r="N8" s="113" t="str">
        <f>IF(M8="","",'3M Pricing'!$I8*100)</f>
        <v/>
      </c>
      <c r="O8" s="113" t="str">
        <f t="shared" si="1"/>
        <v/>
      </c>
      <c r="P8" s="114" t="str">
        <v/>
      </c>
      <c r="Q8" s="113" t="str">
        <f>IF(P8="","",'6M Pricing'!$I8*100)</f>
        <v/>
      </c>
      <c r="R8" s="113" t="str">
        <f t="shared" si="2"/>
        <v/>
      </c>
      <c r="S8" s="114" t="str">
        <v/>
      </c>
      <c r="T8" s="113" t="str">
        <f>IF(S8="","",'1Y Pricing'!$I8*100)</f>
        <v/>
      </c>
      <c r="U8" s="113" t="str">
        <f t="shared" si="3"/>
        <v/>
      </c>
      <c r="V8" s="112" t="str">
        <v/>
      </c>
      <c r="W8" s="113" t="str">
        <f>IF(V8="","",'ON Pricing'!$G8*100)</f>
        <v/>
      </c>
      <c r="X8" s="113" t="str">
        <f t="shared" si="4"/>
        <v/>
      </c>
      <c r="Y8" s="112"/>
      <c r="Z8" s="113" t="str">
        <f>IF(Y8="","",'STD Pricing'!$G8*100)</f>
        <v/>
      </c>
      <c r="AA8" s="113" t="str">
        <f t="shared" si="5"/>
        <v/>
      </c>
      <c r="AB8" s="23" t="s">
        <v>46</v>
      </c>
      <c r="AC8" s="141" t="str">
        <f>IF($C8=" ","",ROUND(ABS(_xll.RtGet(SourceAlias,$J8,BID)-K8),4))</f>
        <v/>
      </c>
      <c r="AD8" s="141" t="str">
        <f>IF($C8=" ","",ROUND(ABS(_xll.RtGet(SourceAlias,$J8,ASK)-L8),4))</f>
        <v/>
      </c>
      <c r="AE8" s="141" t="str">
        <f>IF($D8=" ","",ROUND(ABS(_xll.RtGet(SourceAlias,$M8,BID)-N8),4))</f>
        <v/>
      </c>
      <c r="AF8" s="141" t="str">
        <f>IF($D8=" ","",ROUND(ABS(_xll.RtGet(SourceAlias,$M8,ASK)-O8),4))</f>
        <v/>
      </c>
      <c r="AG8" s="141" t="str">
        <f>IF($E8=" ","",ROUND(ABS(_xll.RtGet(SourceAlias,$P8,BID)-Q8),4))</f>
        <v/>
      </c>
      <c r="AH8" s="141" t="str">
        <f>IF($E8=" ","",ROUND(ABS(_xll.RtGet(SourceAlias,$P8,ASK)-R8),4))</f>
        <v/>
      </c>
      <c r="AI8" s="141" t="str">
        <f>IF($F8=" ","",ROUND(ABS(_xll.RtGet(SourceAlias,$S8,BID)-T8),4))</f>
        <v/>
      </c>
      <c r="AJ8" s="141" t="str">
        <f>IF($F8=" ","",ROUND(ABS(_xll.RtGet(SourceAlias,$S8,ASK)-U8),4))</f>
        <v/>
      </c>
      <c r="AK8" s="141" t="str">
        <f>IF($G8=" ","",ROUND(ABS(_xll.RtGet(SourceAlias,$V8,BID)-W8),4))</f>
        <v/>
      </c>
      <c r="AL8" s="141" t="str">
        <f>IF($G8=" ","",ROUND(ABS(_xll.RtGet(SourceAlias,$V8,ASK)-X8),4))</f>
        <v/>
      </c>
      <c r="AM8" s="141"/>
      <c r="AN8" s="141"/>
    </row>
    <row r="9" spans="1:40" ht="11.25" customHeight="1" x14ac:dyDescent="0.2">
      <c r="A9" s="195"/>
      <c r="B9" s="49" t="s">
        <v>69</v>
      </c>
      <c r="C9" s="86" t="str">
        <f>IF(Contribute="abcd",IF($E$2&lt;&gt;-1,_xll.RtContribute(SourceAlias,J9,Fields,K9:L9,"SCOPE:SERVER"),_xll.RtContribute(SourceAlias,"DDS_INSERT_S",$E$2:$G$2,J9:L9,"SCOPE:SERVER FTC:ALL")),"stopped")</f>
        <v>stopped</v>
      </c>
      <c r="D9" s="86" t="str">
        <f>IF(Contribute="abcd",IF($E$2&lt;&gt;-1,_xll.RtContribute(SourceAlias,M9,Fields,N9:O9,"SCOPE:SERVER"),_xll.RtContribute(SourceAlias,"DDS_INSERT_S",$E$2:$G$2,M9:O9,"SCOPE:SERVER FTC:ALL")),"stopped")</f>
        <v>stopped</v>
      </c>
      <c r="E9" s="86" t="str">
        <f>IF(Contribute="abcd",IF($E$2&lt;&gt;-1,_xll.RtContribute(SourceAlias,P9,Fields,Q9:R9,"SCOPE:SERVER"),_xll.RtContribute(SourceAlias,"DDS_INSERT_S",$E$2:$G$2,P9:R9,"SCOPE:SERVER FTC:ALL")),"stopped")</f>
        <v>stopped</v>
      </c>
      <c r="F9" s="86" t="str">
        <f>IF(Contribute="abcd",IF($E$2&lt;&gt;-1,_xll.RtContribute(SourceAlias,S9,Fields,T9:U9,"SCOPE:SERVER"),_xll.RtContribute(SourceAlias,"DDS_INSERT_S",$E$2:$G$2,T9:U9,"SCOPE:SERVER FTC:ALL")),"stopped")</f>
        <v>stopped</v>
      </c>
      <c r="G9" s="136" t="str">
        <f>IF(Contribute="abcd",IF($E$2&lt;&gt;-1,_xll.RtContribute(SourceAlias,V9,Fields,W9:X9,"SCOPE:SERVER"),_xll.RtContribute(SourceAlias,"DDS_INSERT_S",$E$2:$G$2,V9:X9,"SCOPE:SERVER FTC:ALL")),"stopped")</f>
        <v>stopped</v>
      </c>
      <c r="H9" s="136" t="s">
        <v>46</v>
      </c>
      <c r="I9" s="18" t="s">
        <v>46</v>
      </c>
      <c r="J9" s="115" t="str">
        <v>USD_CURVE_DEP1M_1W</v>
      </c>
      <c r="K9" s="116">
        <f>IF(J9="","",'1M Pricing'!$I9*100)</f>
        <v>0.24961785256508556</v>
      </c>
      <c r="L9" s="116">
        <f t="shared" si="0"/>
        <v>0.24961785256508556</v>
      </c>
      <c r="M9" s="117" t="str">
        <v>USD_CURVE_DEP3M_1W</v>
      </c>
      <c r="N9" s="116">
        <f>IF(M9="","",'3M Pricing'!$I9*100)</f>
        <v>0.27346178882936556</v>
      </c>
      <c r="O9" s="116">
        <f t="shared" si="1"/>
        <v>0.27346178882936556</v>
      </c>
      <c r="P9" s="117" t="str">
        <v>USD_CURVE_DEP6M_1W</v>
      </c>
      <c r="Q9" s="116">
        <f>IF(P9="","",'6M Pricing'!$I9*100)</f>
        <v>0.52087701821688726</v>
      </c>
      <c r="R9" s="116">
        <f t="shared" si="2"/>
        <v>0.52087701821688726</v>
      </c>
      <c r="S9" s="117" t="str">
        <v>USD_CURVE_DEP12M_1W</v>
      </c>
      <c r="T9" s="116">
        <f>IF(S9="","",'1Y Pricing'!$I9*100)</f>
        <v>0.87861610748975383</v>
      </c>
      <c r="U9" s="116">
        <f t="shared" si="3"/>
        <v>0.87861610748975383</v>
      </c>
      <c r="V9" s="115" t="str">
        <v>USD_CURVE_OIS_1W</v>
      </c>
      <c r="W9" s="116">
        <f>IF(V9="","",'ON Pricing'!$G9*100)</f>
        <v>0.15000000001525696</v>
      </c>
      <c r="X9" s="116">
        <f t="shared" si="4"/>
        <v>0.15000000001525696</v>
      </c>
      <c r="Y9" s="115"/>
      <c r="Z9" s="116" t="str">
        <f>IF(Y9="","",'STD Pricing'!$G9*100)</f>
        <v/>
      </c>
      <c r="AA9" s="116" t="str">
        <f t="shared" si="5"/>
        <v/>
      </c>
      <c r="AB9" s="23" t="s">
        <v>46</v>
      </c>
      <c r="AC9" s="142">
        <f>IF($C9=" ","",ROUND(ABS(_xll.RtGet(SourceAlias,$J9,BID)-K9),4))</f>
        <v>9.1200000000000003E-2</v>
      </c>
      <c r="AD9" s="142">
        <f>IF($C9=" ","",ROUND(ABS(_xll.RtGet(SourceAlias,$J9,ASK)-L9),4))</f>
        <v>9.1200000000000003E-2</v>
      </c>
      <c r="AE9" s="142">
        <f>IF($D9=" ","",ROUND(ABS(_xll.RtGet(SourceAlias,$M9,BID)-N9),4))</f>
        <v>1E-3</v>
      </c>
      <c r="AF9" s="142">
        <f>IF($D9=" ","",ROUND(ABS(_xll.RtGet(SourceAlias,$M9,ASK)-O9),4))</f>
        <v>1E-3</v>
      </c>
      <c r="AG9" s="142">
        <f>IF($E9=" ","",ROUND(ABS(_xll.RtGet(SourceAlias,$P9,BID)-Q9),4))</f>
        <v>2.9999999999999997E-4</v>
      </c>
      <c r="AH9" s="142">
        <f>IF($E9=" ","",ROUND(ABS(_xll.RtGet(SourceAlias,$P9,ASK)-R9),4))</f>
        <v>2.9999999999999997E-4</v>
      </c>
      <c r="AI9" s="142">
        <f>IF($F9=" ","",ROUND(ABS(_xll.RtGet(SourceAlias,$S9,BID)-T9),4))</f>
        <v>0</v>
      </c>
      <c r="AJ9" s="142">
        <f>IF($F9=" ","",ROUND(ABS(_xll.RtGet(SourceAlias,$S9,ASK)-U9),4))</f>
        <v>0</v>
      </c>
      <c r="AK9" s="142">
        <f>IF($G9=" ","",ROUND(ABS(_xll.RtGet(SourceAlias,$V9,BID)-W9),4))</f>
        <v>0</v>
      </c>
      <c r="AL9" s="142">
        <f>IF($G9=" ","",ROUND(ABS(_xll.RtGet(SourceAlias,$V9,ASK)-X9),4))</f>
        <v>0</v>
      </c>
      <c r="AM9" s="142"/>
      <c r="AN9" s="142"/>
    </row>
    <row r="10" spans="1:40" ht="11.25" customHeight="1" x14ac:dyDescent="0.2">
      <c r="A10" s="195"/>
      <c r="B10" s="49" t="s">
        <v>15</v>
      </c>
      <c r="C10" s="86" t="str">
        <f>IF(Contribute="abcd",IF($E$2&lt;&gt;-1,_xll.RtContribute(SourceAlias,J10,Fields,K10:L10,"SCOPE:SERVER"),_xll.RtContribute(SourceAlias,"DDS_INSERT_S",$E$2:$G$2,J10:L10,"SCOPE:SERVER FTC:ALL")),"stopped")</f>
        <v>stopped</v>
      </c>
      <c r="D10" s="86" t="str">
        <f>IF(Contribute="abcd",IF($E$2&lt;&gt;-1,_xll.RtContribute(SourceAlias,M10,Fields,N10:O10,"SCOPE:SERVER"),_xll.RtContribute(SourceAlias,"DDS_INSERT_S",$E$2:$G$2,M10:O10,"SCOPE:SERVER FTC:ALL")),"stopped")</f>
        <v>stopped</v>
      </c>
      <c r="E10" s="86" t="str">
        <f>IF(Contribute="abcd",IF($E$2&lt;&gt;-1,_xll.RtContribute(SourceAlias,P10,Fields,Q10:R10,"SCOPE:SERVER"),_xll.RtContribute(SourceAlias,"DDS_INSERT_S",$E$2:$G$2,P10:R10,"SCOPE:SERVER FTC:ALL")),"stopped")</f>
        <v>stopped</v>
      </c>
      <c r="F10" s="86" t="str">
        <f>IF(Contribute="abcd",IF($E$2&lt;&gt;-1,_xll.RtContribute(SourceAlias,S10,Fields,T10:U10,"SCOPE:SERVER"),_xll.RtContribute(SourceAlias,"DDS_INSERT_S",$E$2:$G$2,T10:U10,"SCOPE:SERVER FTC:ALL")),"stopped")</f>
        <v>stopped</v>
      </c>
      <c r="G10" s="136" t="str">
        <f>IF(Contribute="abcd",IF($E$2&lt;&gt;-1,_xll.RtContribute(SourceAlias,V10,Fields,W10:X10,"SCOPE:SERVER"),_xll.RtContribute(SourceAlias,"DDS_INSERT_S",$E$2:$G$2,V10:X10,"SCOPE:SERVER FTC:ALL")),"stopped")</f>
        <v>stopped</v>
      </c>
      <c r="H10" s="136" t="s">
        <v>46</v>
      </c>
      <c r="I10" s="18" t="s">
        <v>46</v>
      </c>
      <c r="J10" s="115" t="str">
        <v>USD_CURVE_DEP1M_2W</v>
      </c>
      <c r="K10" s="116">
        <f>IF(J10="","",'1M Pricing'!$I10*100)</f>
        <v>0.25003990689942412</v>
      </c>
      <c r="L10" s="116">
        <f t="shared" si="0"/>
        <v>0.25003990689942412</v>
      </c>
      <c r="M10" s="117" t="str">
        <v>USD_CURVE_DEP3M_2W</v>
      </c>
      <c r="N10" s="116">
        <f>IF(M10="","",'3M Pricing'!$I10*100)</f>
        <v>0.27513827828976439</v>
      </c>
      <c r="O10" s="116">
        <f t="shared" si="1"/>
        <v>0.27513827828976439</v>
      </c>
      <c r="P10" s="117" t="str">
        <v>USD_CURVE_DEP6M_2W</v>
      </c>
      <c r="Q10" s="116">
        <f>IF(P10="","",'6M Pricing'!$I10*100)</f>
        <v>0.5204123520587649</v>
      </c>
      <c r="R10" s="116">
        <f t="shared" si="2"/>
        <v>0.5204123520587649</v>
      </c>
      <c r="S10" s="117" t="str">
        <v>USD_CURVE_DEP12M_2W</v>
      </c>
      <c r="T10" s="116">
        <f>IF(S10="","",'1Y Pricing'!$I10*100)</f>
        <v>0.87845170076437729</v>
      </c>
      <c r="U10" s="116">
        <f t="shared" si="3"/>
        <v>0.87845170076437729</v>
      </c>
      <c r="V10" s="115" t="str">
        <v>USD_CURVE_OIS_2W</v>
      </c>
      <c r="W10" s="116">
        <f>IF(V10="","",'ON Pricing'!$G10*100)</f>
        <v>0.17100000024772299</v>
      </c>
      <c r="X10" s="116">
        <f t="shared" si="4"/>
        <v>0.17100000024772299</v>
      </c>
      <c r="Y10" s="115"/>
      <c r="Z10" s="116" t="str">
        <f>IF(Y10="","",'STD Pricing'!$G10*100)</f>
        <v/>
      </c>
      <c r="AA10" s="116" t="str">
        <f t="shared" si="5"/>
        <v/>
      </c>
      <c r="AB10" s="23" t="s">
        <v>46</v>
      </c>
      <c r="AC10" s="142">
        <f>IF($C10=" ","",ROUND(ABS(_xll.RtGet(SourceAlias,$J10,BID)-K10),4))</f>
        <v>7.7600000000000002E-2</v>
      </c>
      <c r="AD10" s="142">
        <f>IF($C10=" ","",ROUND(ABS(_xll.RtGet(SourceAlias,$J10,ASK)-L10),4))</f>
        <v>7.7600000000000002E-2</v>
      </c>
      <c r="AE10" s="142">
        <f>IF($D10=" ","",ROUND(ABS(_xll.RtGet(SourceAlias,$M10,BID)-N10),4))</f>
        <v>1E-3</v>
      </c>
      <c r="AF10" s="142">
        <f>IF($D10=" ","",ROUND(ABS(_xll.RtGet(SourceAlias,$M10,ASK)-O10),4))</f>
        <v>1E-3</v>
      </c>
      <c r="AG10" s="142">
        <f>IF($E10=" ","",ROUND(ABS(_xll.RtGet(SourceAlias,$P10,BID)-Q10),4))</f>
        <v>2.9999999999999997E-4</v>
      </c>
      <c r="AH10" s="142">
        <f>IF($E10=" ","",ROUND(ABS(_xll.RtGet(SourceAlias,$P10,ASK)-R10),4))</f>
        <v>2.9999999999999997E-4</v>
      </c>
      <c r="AI10" s="142">
        <f>IF($F10=" ","",ROUND(ABS(_xll.RtGet(SourceAlias,$S10,BID)-T10),4))</f>
        <v>0</v>
      </c>
      <c r="AJ10" s="142">
        <f>IF($F10=" ","",ROUND(ABS(_xll.RtGet(SourceAlias,$S10,ASK)-U10),4))</f>
        <v>0</v>
      </c>
      <c r="AK10" s="142">
        <f>IF($G10=" ","",ROUND(ABS(_xll.RtGet(SourceAlias,$V10,BID)-W10),4))</f>
        <v>0</v>
      </c>
      <c r="AL10" s="142">
        <f>IF($G10=" ","",ROUND(ABS(_xll.RtGet(SourceAlias,$V10,ASK)-X10),4))</f>
        <v>0</v>
      </c>
      <c r="AM10" s="142"/>
      <c r="AN10" s="142"/>
    </row>
    <row r="11" spans="1:40" ht="11.25" customHeight="1" x14ac:dyDescent="0.2">
      <c r="A11" s="195"/>
      <c r="B11" s="49" t="s">
        <v>71</v>
      </c>
      <c r="C11" s="86" t="str">
        <f>IF(Contribute="abcd",IF($E$2&lt;&gt;-1,_xll.RtContribute(SourceAlias,J11,Fields,K11:L11,"SCOPE:SERVER"),_xll.RtContribute(SourceAlias,"DDS_INSERT_S",$E$2:$G$2,J11:L11,"SCOPE:SERVER FTC:ALL")),"stopped")</f>
        <v>stopped</v>
      </c>
      <c r="D11" s="86" t="str">
        <f>IF(Contribute="abcd",IF($E$2&lt;&gt;-1,_xll.RtContribute(SourceAlias,M11,Fields,N11:O11,"SCOPE:SERVER"),_xll.RtContribute(SourceAlias,"DDS_INSERT_S",$E$2:$G$2,M11:O11,"SCOPE:SERVER FTC:ALL")),"stopped")</f>
        <v>stopped</v>
      </c>
      <c r="E11" s="86" t="str">
        <f>IF(Contribute="abcd",IF($E$2&lt;&gt;-1,_xll.RtContribute(SourceAlias,P11,Fields,Q11:R11,"SCOPE:SERVER"),_xll.RtContribute(SourceAlias,"DDS_INSERT_S",$E$2:$G$2,P11:R11,"SCOPE:SERVER FTC:ALL")),"stopped")</f>
        <v>stopped</v>
      </c>
      <c r="F11" s="86" t="str">
        <f>IF(Contribute="abcd",IF($E$2&lt;&gt;-1,_xll.RtContribute(SourceAlias,S11,Fields,T11:U11,"SCOPE:SERVER"),_xll.RtContribute(SourceAlias,"DDS_INSERT_S",$E$2:$G$2,T11:U11,"SCOPE:SERVER FTC:ALL")),"stopped")</f>
        <v>stopped</v>
      </c>
      <c r="G11" s="136" t="str">
        <f>IF(Contribute="abcd",IF($E$2&lt;&gt;-1,_xll.RtContribute(SourceAlias,V11,Fields,W11:X11,"SCOPE:SERVER"),_xll.RtContribute(SourceAlias,"DDS_INSERT_S",$E$2:$G$2,V11:X11,"SCOPE:SERVER FTC:ALL")),"stopped")</f>
        <v>stopped</v>
      </c>
      <c r="H11" s="136" t="s">
        <v>46</v>
      </c>
      <c r="I11" s="18" t="s">
        <v>46</v>
      </c>
      <c r="J11" s="115" t="str">
        <v>USD_CURVE_DEP1M_3W</v>
      </c>
      <c r="K11" s="116">
        <f>IF(J11="","",'1M Pricing'!$I11*100)</f>
        <v>0.25073934654657698</v>
      </c>
      <c r="L11" s="116">
        <f t="shared" si="0"/>
        <v>0.25073934654657698</v>
      </c>
      <c r="M11" s="117" t="str">
        <v>USD_CURVE_DEP3M_3W</v>
      </c>
      <c r="N11" s="116">
        <f>IF(M11="","",'3M Pricing'!$I11*100)</f>
        <v>0.27792782172905306</v>
      </c>
      <c r="O11" s="116">
        <f t="shared" si="1"/>
        <v>0.27792782172905306</v>
      </c>
      <c r="P11" s="117" t="str">
        <v>USD_CURVE_DEP6M_3W</v>
      </c>
      <c r="Q11" s="116">
        <f>IF(P11="","",'6M Pricing'!$I11*100)</f>
        <v>0.51962019290106654</v>
      </c>
      <c r="R11" s="116">
        <f t="shared" si="2"/>
        <v>0.51962019290106654</v>
      </c>
      <c r="S11" s="117" t="str">
        <v>USD_CURVE_DEP12M_3W</v>
      </c>
      <c r="T11" s="116">
        <f>IF(S11="","",'1Y Pricing'!$I11*100)</f>
        <v>0.87812755424998556</v>
      </c>
      <c r="U11" s="116">
        <f t="shared" si="3"/>
        <v>0.87812755424998556</v>
      </c>
      <c r="V11" s="115" t="str">
        <v>USD_CURVE_OIS_3W</v>
      </c>
      <c r="W11" s="116">
        <f>IF(V11="","",'ON Pricing'!$G11*100)</f>
        <v>0.17799999948512177</v>
      </c>
      <c r="X11" s="116">
        <f t="shared" si="4"/>
        <v>0.17799999948512177</v>
      </c>
      <c r="Y11" s="115"/>
      <c r="Z11" s="116" t="str">
        <f>IF(Y11="","",'STD Pricing'!$G11*100)</f>
        <v/>
      </c>
      <c r="AA11" s="116" t="str">
        <f t="shared" si="5"/>
        <v/>
      </c>
      <c r="AB11" s="23" t="s">
        <v>46</v>
      </c>
      <c r="AC11" s="142">
        <f>IF($C11=" ","",ROUND(ABS(_xll.RtGet(SourceAlias,$J11,BID)-K11),4))</f>
        <v>6.4500000000000002E-2</v>
      </c>
      <c r="AD11" s="142">
        <f>IF($C11=" ","",ROUND(ABS(_xll.RtGet(SourceAlias,$J11,ASK)-L11),4))</f>
        <v>6.4500000000000002E-2</v>
      </c>
      <c r="AE11" s="142">
        <f>IF($D11=" ","",ROUND(ABS(_xll.RtGet(SourceAlias,$M11,BID)-N11),4))</f>
        <v>8.9999999999999998E-4</v>
      </c>
      <c r="AF11" s="142">
        <f>IF($D11=" ","",ROUND(ABS(_xll.RtGet(SourceAlias,$M11,ASK)-O11),4))</f>
        <v>8.9999999999999998E-4</v>
      </c>
      <c r="AG11" s="142">
        <f>IF($E11=" ","",ROUND(ABS(_xll.RtGet(SourceAlias,$P11,BID)-Q11),4))</f>
        <v>2.9999999999999997E-4</v>
      </c>
      <c r="AH11" s="142">
        <f>IF($E11=" ","",ROUND(ABS(_xll.RtGet(SourceAlias,$P11,ASK)-R11),4))</f>
        <v>2.9999999999999997E-4</v>
      </c>
      <c r="AI11" s="142">
        <f>IF($F11=" ","",ROUND(ABS(_xll.RtGet(SourceAlias,$S11,BID)-T11),4))</f>
        <v>1E-4</v>
      </c>
      <c r="AJ11" s="142">
        <f>IF($F11=" ","",ROUND(ABS(_xll.RtGet(SourceAlias,$S11,ASK)-U11),4))</f>
        <v>1E-4</v>
      </c>
      <c r="AK11" s="142">
        <f>IF($G11=" ","",ROUND(ABS(_xll.RtGet(SourceAlias,$V11,BID)-W11),4))</f>
        <v>0</v>
      </c>
      <c r="AL11" s="142">
        <f>IF($G11=" ","",ROUND(ABS(_xll.RtGet(SourceAlias,$V11,ASK)-X11),4))</f>
        <v>0</v>
      </c>
      <c r="AM11" s="142"/>
      <c r="AN11" s="142"/>
    </row>
    <row r="12" spans="1:40" ht="11.25" customHeight="1" x14ac:dyDescent="0.2">
      <c r="A12" s="195"/>
      <c r="B12" s="49" t="s">
        <v>16</v>
      </c>
      <c r="C12" s="86" t="str">
        <f>IF(Contribute="abcd",IF($E$2&lt;&gt;-1,_xll.RtContribute(SourceAlias,J12,Fields,K12:L12,"SCOPE:SERVER"),_xll.RtContribute(SourceAlias,"DDS_INSERT_S",$E$2:$G$2,J12:L12,"SCOPE:SERVER FTC:ALL")),"stopped")</f>
        <v>stopped</v>
      </c>
      <c r="D12" s="139" t="str">
        <f>IF(Contribute="abcd",IF($E$2&lt;&gt;-1,_xll.RtContribute(SourceAlias,M12,Fields,N12:O12,"SCOPE:SERVER"),_xll.RtContribute(SourceAlias,"DDS_INSERT_S",$E$2:$G$2,M12:O12,"SCOPE:SERVER FTC:ALL")),"stopped")</f>
        <v>stopped</v>
      </c>
      <c r="E12" s="86" t="str">
        <f>IF(Contribute="abcd",IF($E$2&lt;&gt;-1,_xll.RtContribute(SourceAlias,P12,Fields,Q12:R12,"SCOPE:SERVER"),_xll.RtContribute(SourceAlias,"DDS_INSERT_S",$E$2:$G$2,P12:R12,"SCOPE:SERVER FTC:ALL")),"stopped")</f>
        <v>stopped</v>
      </c>
      <c r="F12" s="86" t="str">
        <f>IF(Contribute="abcd",IF($E$2&lt;&gt;-1,_xll.RtContribute(SourceAlias,S12,Fields,T12:U12,"SCOPE:SERVER"),_xll.RtContribute(SourceAlias,"DDS_INSERT_S",$E$2:$G$2,T12:U12,"SCOPE:SERVER FTC:ALL")),"stopped")</f>
        <v>stopped</v>
      </c>
      <c r="G12" s="136" t="str">
        <f>IF(Contribute="abcd",IF($E$2&lt;&gt;-1,_xll.RtContribute(SourceAlias,V12,Fields,W12:X12,"SCOPE:SERVER"),_xll.RtContribute(SourceAlias,"DDS_INSERT_S",$E$2:$G$2,V12:X12,"SCOPE:SERVER FTC:ALL")),"stopped")</f>
        <v>stopped</v>
      </c>
      <c r="H12" s="136" t="s">
        <v>46</v>
      </c>
      <c r="I12" s="18" t="s">
        <v>46</v>
      </c>
      <c r="J12" s="115" t="str">
        <v>USD_CURVE_DEP1M_1M</v>
      </c>
      <c r="K12" s="116">
        <f>IF(J12="","",'1M Pricing'!$I12*100)</f>
        <v>0.25258385007553841</v>
      </c>
      <c r="L12" s="116">
        <f t="shared" si="0"/>
        <v>0.25258385007553841</v>
      </c>
      <c r="M12" s="117" t="str">
        <v>USD_CURVE_DEP3M_1M</v>
      </c>
      <c r="N12" s="116">
        <f>IF(M12="","",'3M Pricing'!$I12*100)</f>
        <v>0.28529999999998329</v>
      </c>
      <c r="O12" s="116">
        <f t="shared" si="1"/>
        <v>0.28529999999998329</v>
      </c>
      <c r="P12" s="117" t="str">
        <v>USD_CURVE_DEP6M_1M</v>
      </c>
      <c r="Q12" s="116">
        <f>IF(P12="","",'6M Pricing'!$I12*100)</f>
        <v>0.51750000000002927</v>
      </c>
      <c r="R12" s="116">
        <f t="shared" si="2"/>
        <v>0.51750000000002927</v>
      </c>
      <c r="S12" s="117" t="str">
        <v>USD_CURVE_DEP12M_1M</v>
      </c>
      <c r="T12" s="116">
        <f>IF(S12="","",'1Y Pricing'!$I12*100)</f>
        <v>0.87719999999912412</v>
      </c>
      <c r="U12" s="116">
        <f t="shared" si="3"/>
        <v>0.87719999999912412</v>
      </c>
      <c r="V12" s="115" t="str">
        <v>USD_CURVE_OIS_1M</v>
      </c>
      <c r="W12" s="116">
        <f>IF(V12="","",'ON Pricing'!$G12*100)</f>
        <v>0.18099999972130057</v>
      </c>
      <c r="X12" s="116">
        <f t="shared" si="4"/>
        <v>0.18099999972130057</v>
      </c>
      <c r="Y12" s="115"/>
      <c r="Z12" s="116" t="str">
        <f>IF(Y12="","",'STD Pricing'!$G12*100)</f>
        <v/>
      </c>
      <c r="AA12" s="116" t="str">
        <f t="shared" si="5"/>
        <v/>
      </c>
      <c r="AB12" s="23" t="s">
        <v>46</v>
      </c>
      <c r="AC12" s="142">
        <f>IF($C12=" ","",ROUND(ABS(_xll.RtGet(SourceAlias,$J12,BID)-K12),4))</f>
        <v>4.7399999999999998E-2</v>
      </c>
      <c r="AD12" s="142">
        <f>IF($C12=" ","",ROUND(ABS(_xll.RtGet(SourceAlias,$J12,ASK)-L12),4))</f>
        <v>4.7399999999999998E-2</v>
      </c>
      <c r="AE12" s="142">
        <f>IF($D12=" ","",ROUND(ABS(_xll.RtGet(SourceAlias,$M12,BID)-N12),4))</f>
        <v>6.9999999999999999E-4</v>
      </c>
      <c r="AF12" s="142">
        <f>IF($D12=" ","",ROUND(ABS(_xll.RtGet(SourceAlias,$M12,ASK)-O12),4))</f>
        <v>6.9999999999999999E-4</v>
      </c>
      <c r="AG12" s="142">
        <f>IF($E12=" ","",ROUND(ABS(_xll.RtGet(SourceAlias,$P12,BID)-Q12),4))</f>
        <v>2.0000000000000001E-4</v>
      </c>
      <c r="AH12" s="142">
        <f>IF($E12=" ","",ROUND(ABS(_xll.RtGet(SourceAlias,$P12,ASK)-R12),4))</f>
        <v>2.0000000000000001E-4</v>
      </c>
      <c r="AI12" s="142">
        <f>IF($F12=" ","",ROUND(ABS(_xll.RtGet(SourceAlias,$S12,BID)-T12),4))</f>
        <v>1E-4</v>
      </c>
      <c r="AJ12" s="142">
        <f>IF($F12=" ","",ROUND(ABS(_xll.RtGet(SourceAlias,$S12,ASK)-U12),4))</f>
        <v>1E-4</v>
      </c>
      <c r="AK12" s="142">
        <f>IF($G12=" ","",ROUND(ABS(_xll.RtGet(SourceAlias,$V12,BID)-W12),4))</f>
        <v>0</v>
      </c>
      <c r="AL12" s="142">
        <f>IF($G12=" ","",ROUND(ABS(_xll.RtGet(SourceAlias,$V12,ASK)-X12),4))</f>
        <v>0</v>
      </c>
      <c r="AM12" s="142"/>
      <c r="AN12" s="142"/>
    </row>
    <row r="13" spans="1:40" ht="11.25" customHeight="1" x14ac:dyDescent="0.2">
      <c r="A13" s="195"/>
      <c r="B13" s="49" t="s">
        <v>17</v>
      </c>
      <c r="C13" s="86" t="str">
        <f>IF(Contribute="abcd",IF($E$2&lt;&gt;-1,_xll.RtContribute(SourceAlias,J13,Fields,K13:L13,"SCOPE:SERVER"),_xll.RtContribute(SourceAlias,"DDS_INSERT_S",$E$2:$G$2,J13:L13,"SCOPE:SERVER FTC:ALL")),"stopped")</f>
        <v>stopped</v>
      </c>
      <c r="D13" s="139" t="str">
        <f>IF(Contribute="abcd",IF($E$2&lt;&gt;-1,_xll.RtContribute(SourceAlias,M13,Fields,N13:O13,"SCOPE:SERVER"),_xll.RtContribute(SourceAlias,"DDS_INSERT_S",$E$2:$G$2,M13:O13,"SCOPE:SERVER FTC:ALL")),"stopped")</f>
        <v>stopped</v>
      </c>
      <c r="E13" s="86" t="str">
        <f>IF(Contribute="abcd",IF($E$2&lt;&gt;-1,_xll.RtContribute(SourceAlias,P13,Fields,Q13:R13,"SCOPE:SERVER"),_xll.RtContribute(SourceAlias,"DDS_INSERT_S",$E$2:$G$2,P13:R13,"SCOPE:SERVER FTC:ALL")),"stopped")</f>
        <v>stopped</v>
      </c>
      <c r="F13" s="86" t="str">
        <f>IF(Contribute="abcd",IF($E$2&lt;&gt;-1,_xll.RtContribute(SourceAlias,S13,Fields,T13:U13,"SCOPE:SERVER"),_xll.RtContribute(SourceAlias,"DDS_INSERT_S",$E$2:$G$2,T13:U13,"SCOPE:SERVER FTC:ALL")),"stopped")</f>
        <v>stopped</v>
      </c>
      <c r="G13" s="136" t="str">
        <f>IF(Contribute="abcd",IF($E$2&lt;&gt;-1,_xll.RtContribute(SourceAlias,V13,Fields,W13:X13,"SCOPE:SERVER"),_xll.RtContribute(SourceAlias,"DDS_INSERT_S",$E$2:$G$2,V13:X13,"SCOPE:SERVER FTC:ALL")),"stopped")</f>
        <v>stopped</v>
      </c>
      <c r="H13" s="136" t="s">
        <v>46</v>
      </c>
      <c r="I13" s="18" t="s">
        <v>46</v>
      </c>
      <c r="J13" s="115" t="str">
        <v>USD_CURVE_DEP1M_2M</v>
      </c>
      <c r="K13" s="116">
        <f>IF(J13="","",'1M Pricing'!$I13*100)</f>
        <v>0.26005949000452883</v>
      </c>
      <c r="L13" s="116">
        <f t="shared" si="0"/>
        <v>0.26005949000452883</v>
      </c>
      <c r="M13" s="117" t="str">
        <v>USD_CURVE_DEP3M_2M</v>
      </c>
      <c r="N13" s="116">
        <f>IF(M13="","",'3M Pricing'!$I13*100)</f>
        <v>0.30909999999996562</v>
      </c>
      <c r="O13" s="116">
        <f t="shared" si="1"/>
        <v>0.30909999999996562</v>
      </c>
      <c r="P13" s="117" t="str">
        <v>USD_CURVE_DEP6M_2M</v>
      </c>
      <c r="Q13" s="116">
        <f>IF(P13="","",'6M Pricing'!$I13*100)</f>
        <v>0.51060000000010963</v>
      </c>
      <c r="R13" s="116">
        <f t="shared" si="2"/>
        <v>0.51060000000010963</v>
      </c>
      <c r="S13" s="117" t="str">
        <v>USD_CURVE_DEP12M_2M</v>
      </c>
      <c r="T13" s="116">
        <f>IF(S13="","",'1Y Pricing'!$I13*100)</f>
        <v>0.8727999999986783</v>
      </c>
      <c r="U13" s="116">
        <f t="shared" si="3"/>
        <v>0.8727999999986783</v>
      </c>
      <c r="V13" s="115" t="str">
        <v>USD_CURVE_OIS_2M</v>
      </c>
      <c r="W13" s="116">
        <f>IF(V13="","",'ON Pricing'!$G13*100)</f>
        <v>0.19599999984686328</v>
      </c>
      <c r="X13" s="116">
        <f t="shared" si="4"/>
        <v>0.19599999984686328</v>
      </c>
      <c r="Y13" s="115"/>
      <c r="Z13" s="116" t="str">
        <f>IF(Y13="","",'STD Pricing'!$G13*100)</f>
        <v/>
      </c>
      <c r="AA13" s="116" t="str">
        <f t="shared" si="5"/>
        <v/>
      </c>
      <c r="AB13" s="23" t="s">
        <v>46</v>
      </c>
      <c r="AC13" s="142">
        <f>IF($C13=" ","",ROUND(ABS(_xll.RtGet(SourceAlias,$J13,BID)-K13),4))</f>
        <v>2.76E-2</v>
      </c>
      <c r="AD13" s="142">
        <f>IF($C13=" ","",ROUND(ABS(_xll.RtGet(SourceAlias,$J13,ASK)-L13),4))</f>
        <v>2.76E-2</v>
      </c>
      <c r="AE13" s="142">
        <f>IF($D13=" ","",ROUND(ABS(_xll.RtGet(SourceAlias,$M13,BID)-N13),4))</f>
        <v>0</v>
      </c>
      <c r="AF13" s="142">
        <f>IF($D13=" ","",ROUND(ABS(_xll.RtGet(SourceAlias,$M13,ASK)-O13),4))</f>
        <v>0</v>
      </c>
      <c r="AG13" s="142">
        <f>IF($E13=" ","",ROUND(ABS(_xll.RtGet(SourceAlias,$P13,BID)-Q13),4))</f>
        <v>0</v>
      </c>
      <c r="AH13" s="142">
        <f>IF($E13=" ","",ROUND(ABS(_xll.RtGet(SourceAlias,$P13,ASK)-R13),4))</f>
        <v>0</v>
      </c>
      <c r="AI13" s="142">
        <f>IF($F13=" ","",ROUND(ABS(_xll.RtGet(SourceAlias,$S13,BID)-T13),4))</f>
        <v>2.0000000000000001E-4</v>
      </c>
      <c r="AJ13" s="142">
        <f>IF($F13=" ","",ROUND(ABS(_xll.RtGet(SourceAlias,$S13,ASK)-U13),4))</f>
        <v>2.0000000000000001E-4</v>
      </c>
      <c r="AK13" s="142">
        <f>IF($G13=" ","",ROUND(ABS(_xll.RtGet(SourceAlias,$V13,BID)-W13),4))</f>
        <v>0</v>
      </c>
      <c r="AL13" s="142">
        <f>IF($G13=" ","",ROUND(ABS(_xll.RtGet(SourceAlias,$V13,ASK)-X13),4))</f>
        <v>0</v>
      </c>
      <c r="AM13" s="142"/>
      <c r="AN13" s="142"/>
    </row>
    <row r="14" spans="1:40" ht="11.25" customHeight="1" x14ac:dyDescent="0.2">
      <c r="A14" s="195"/>
      <c r="B14" s="49" t="s">
        <v>18</v>
      </c>
      <c r="C14" s="86" t="str">
        <f>IF(Contribute="abcd",IF($E$2&lt;&gt;-1,_xll.RtContribute(SourceAlias,J14,Fields,K14:L14,"SCOPE:SERVER"),_xll.RtContribute(SourceAlias,"DDS_INSERT_S",$E$2:$G$2,J14:L14,"SCOPE:SERVER FTC:ALL")),"stopped")</f>
        <v>stopped</v>
      </c>
      <c r="D14" s="139" t="str">
        <f>IF(Contribute="abcd",IF($E$2&lt;&gt;-1,_xll.RtContribute(SourceAlias,M14,Fields,N14:O14,"SCOPE:SERVER"),_xll.RtContribute(SourceAlias,"DDS_INSERT_S",$E$2:$G$2,M14:O14,"SCOPE:SERVER FTC:ALL")),"stopped")</f>
        <v>stopped</v>
      </c>
      <c r="E14" s="86" t="str">
        <f>IF(Contribute="abcd",IF($E$2&lt;&gt;-1,_xll.RtContribute(SourceAlias,P14,Fields,Q14:R14,"SCOPE:SERVER"),_xll.RtContribute(SourceAlias,"DDS_INSERT_S",$E$2:$G$2,P14:R14,"SCOPE:SERVER FTC:ALL")),"stopped")</f>
        <v>stopped</v>
      </c>
      <c r="F14" s="86" t="str">
        <f>IF(Contribute="abcd",IF($E$2&lt;&gt;-1,_xll.RtContribute(SourceAlias,S14,Fields,T14:U14,"SCOPE:SERVER"),_xll.RtContribute(SourceAlias,"DDS_INSERT_S",$E$2:$G$2,T14:U14,"SCOPE:SERVER FTC:ALL")),"stopped")</f>
        <v>stopped</v>
      </c>
      <c r="G14" s="136" t="str">
        <f>IF(Contribute="abcd",IF($E$2&lt;&gt;-1,_xll.RtContribute(SourceAlias,V14,Fields,W14:X14,"SCOPE:SERVER"),_xll.RtContribute(SourceAlias,"DDS_INSERT_S",$E$2:$G$2,V14:X14,"SCOPE:SERVER FTC:ALL")),"stopped")</f>
        <v>stopped</v>
      </c>
      <c r="H14" s="136" t="s">
        <v>46</v>
      </c>
      <c r="I14" s="18" t="s">
        <v>46</v>
      </c>
      <c r="J14" s="115" t="str">
        <v>USD_CURVE_DEP1M_3M</v>
      </c>
      <c r="K14" s="116">
        <f>IF(J14="","",'1M Pricing'!$I14*100)</f>
        <v>0.2729994889369321</v>
      </c>
      <c r="L14" s="116">
        <f t="shared" si="0"/>
        <v>0.2729994889369321</v>
      </c>
      <c r="M14" s="117" t="str">
        <v>USD_CURVE_DEP3M_3M</v>
      </c>
      <c r="N14" s="116">
        <f>IF(M14="","",'3M Pricing'!$I14*100)</f>
        <v>0.33394564235184238</v>
      </c>
      <c r="O14" s="116">
        <f t="shared" si="1"/>
        <v>0.33394564235184238</v>
      </c>
      <c r="P14" s="117" t="str">
        <v>USD_CURVE_DEP6M_3M</v>
      </c>
      <c r="Q14" s="116">
        <f>IF(P14="","",'6M Pricing'!$I14*100)</f>
        <v>0.50820000000000631</v>
      </c>
      <c r="R14" s="116">
        <f t="shared" si="2"/>
        <v>0.50820000000000631</v>
      </c>
      <c r="S14" s="117" t="str">
        <v>USD_CURVE_DEP12M_3M</v>
      </c>
      <c r="T14" s="116">
        <f>IF(S14="","",'1Y Pricing'!$I14*100)</f>
        <v>0.86829999999781382</v>
      </c>
      <c r="U14" s="116">
        <f t="shared" si="3"/>
        <v>0.86829999999781382</v>
      </c>
      <c r="V14" s="115" t="str">
        <v>USD_CURVE_OIS_3M</v>
      </c>
      <c r="W14" s="116">
        <f>IF(V14="","",'ON Pricing'!$G14*100)</f>
        <v>0.21199999989775314</v>
      </c>
      <c r="X14" s="116">
        <f t="shared" si="4"/>
        <v>0.21199999989775314</v>
      </c>
      <c r="Y14" s="115"/>
      <c r="Z14" s="116" t="str">
        <f>IF(Y14="","",'STD Pricing'!$G14*100)</f>
        <v/>
      </c>
      <c r="AA14" s="116" t="str">
        <f t="shared" si="5"/>
        <v/>
      </c>
      <c r="AB14" s="23" t="s">
        <v>46</v>
      </c>
      <c r="AC14" s="142">
        <f>IF($C14=" ","",ROUND(ABS(_xll.RtGet(SourceAlias,$J14,BID)-K14),4))</f>
        <v>1.77E-2</v>
      </c>
      <c r="AD14" s="142">
        <f>IF($C14=" ","",ROUND(ABS(_xll.RtGet(SourceAlias,$J14,ASK)-L14),4))</f>
        <v>1.77E-2</v>
      </c>
      <c r="AE14" s="142">
        <f>IF($D14=" ","",ROUND(ABS(_xll.RtGet(SourceAlias,$M14,BID)-N14),4))</f>
        <v>0</v>
      </c>
      <c r="AF14" s="142">
        <f>IF($D14=" ","",ROUND(ABS(_xll.RtGet(SourceAlias,$M14,ASK)-O14),4))</f>
        <v>0</v>
      </c>
      <c r="AG14" s="142">
        <f>IF($E14=" ","",ROUND(ABS(_xll.RtGet(SourceAlias,$P14,BID)-Q14),4))</f>
        <v>0</v>
      </c>
      <c r="AH14" s="142">
        <f>IF($E14=" ","",ROUND(ABS(_xll.RtGet(SourceAlias,$P14,ASK)-R14),4))</f>
        <v>0</v>
      </c>
      <c r="AI14" s="142">
        <f>IF($F14=" ","",ROUND(ABS(_xll.RtGet(SourceAlias,$S14,BID)-T14),4))</f>
        <v>2.0000000000000001E-4</v>
      </c>
      <c r="AJ14" s="142">
        <f>IF($F14=" ","",ROUND(ABS(_xll.RtGet(SourceAlias,$S14,ASK)-U14),4))</f>
        <v>2.0000000000000001E-4</v>
      </c>
      <c r="AK14" s="142">
        <f>IF($G14=" ","",ROUND(ABS(_xll.RtGet(SourceAlias,$V14,BID)-W14),4))</f>
        <v>0</v>
      </c>
      <c r="AL14" s="142">
        <f>IF($G14=" ","",ROUND(ABS(_xll.RtGet(SourceAlias,$V14,ASK)-X14),4))</f>
        <v>0</v>
      </c>
      <c r="AM14" s="142"/>
      <c r="AN14" s="142"/>
    </row>
    <row r="15" spans="1:40" ht="11.25" customHeight="1" x14ac:dyDescent="0.2">
      <c r="A15" s="195"/>
      <c r="B15" s="49" t="s">
        <v>19</v>
      </c>
      <c r="C15" s="86" t="str">
        <f>IF(Contribute="abcd",IF($E$2&lt;&gt;-1,_xll.RtContribute(SourceAlias,J15,Fields,K15:L15,"SCOPE:SERVER"),_xll.RtContribute(SourceAlias,"DDS_INSERT_S",$E$2:$G$2,J15:L15,"SCOPE:SERVER FTC:ALL")),"stopped")</f>
        <v>stopped</v>
      </c>
      <c r="D15" s="139" t="str">
        <f>IF(Contribute="abcd",IF($E$2&lt;&gt;-1,_xll.RtContribute(SourceAlias,M15,Fields,N15:O15,"SCOPE:SERVER"),_xll.RtContribute(SourceAlias,"DDS_INSERT_S",$E$2:$G$2,M15:O15,"SCOPE:SERVER FTC:ALL")),"stopped")</f>
        <v>stopped</v>
      </c>
      <c r="E15" s="86" t="str">
        <f>IF(Contribute="abcd",IF($E$2&lt;&gt;-1,_xll.RtContribute(SourceAlias,P15,Fields,Q15:R15,"SCOPE:SERVER"),_xll.RtContribute(SourceAlias,"DDS_INSERT_S",$E$2:$G$2,P15:R15,"SCOPE:SERVER FTC:ALL")),"stopped")</f>
        <v>stopped</v>
      </c>
      <c r="F15" s="86" t="str">
        <f>IF(Contribute="abcd",IF($E$2&lt;&gt;-1,_xll.RtContribute(SourceAlias,S15,Fields,T15:U15,"SCOPE:SERVER"),_xll.RtContribute(SourceAlias,"DDS_INSERT_S",$E$2:$G$2,T15:U15,"SCOPE:SERVER FTC:ALL")),"stopped")</f>
        <v>stopped</v>
      </c>
      <c r="G15" s="136" t="str">
        <f>IF(Contribute="abcd",IF($E$2&lt;&gt;-1,_xll.RtContribute(SourceAlias,V15,Fields,W15:X15,"SCOPE:SERVER"),_xll.RtContribute(SourceAlias,"DDS_INSERT_S",$E$2:$G$2,V15:X15,"SCOPE:SERVER FTC:ALL")),"stopped")</f>
        <v>stopped</v>
      </c>
      <c r="H15" s="136" t="s">
        <v>46</v>
      </c>
      <c r="I15" s="18" t="s">
        <v>46</v>
      </c>
      <c r="J15" s="115" t="str">
        <v>USD_CURVE_DEP1M_4M</v>
      </c>
      <c r="K15" s="116">
        <f>IF(J15="","",'1M Pricing'!$I15*100)</f>
        <v>0.29149878667056045</v>
      </c>
      <c r="L15" s="116">
        <f t="shared" si="0"/>
        <v>0.29149878667056045</v>
      </c>
      <c r="M15" s="117" t="str">
        <v>USD_CURVE_DEP3M_4M</v>
      </c>
      <c r="N15" s="116">
        <f>IF(M15="","",'3M Pricing'!$I15*100)</f>
        <v>0.36355559630449136</v>
      </c>
      <c r="O15" s="116">
        <f t="shared" si="1"/>
        <v>0.36355559630449136</v>
      </c>
      <c r="P15" s="117" t="str">
        <v>USD_CURVE_DEP6M_4M</v>
      </c>
      <c r="Q15" s="116">
        <f>IF(P15="","",'6M Pricing'!$I15*100)</f>
        <v>0.51850000000004492</v>
      </c>
      <c r="R15" s="116">
        <f t="shared" si="2"/>
        <v>0.51850000000004492</v>
      </c>
      <c r="S15" s="117" t="str">
        <v>USD_CURVE_DEP12M_4M</v>
      </c>
      <c r="T15" s="116">
        <f>IF(S15="","",'1Y Pricing'!$I15*100)</f>
        <v>0.87149999999993033</v>
      </c>
      <c r="U15" s="116">
        <f t="shared" si="3"/>
        <v>0.87149999999993033</v>
      </c>
      <c r="V15" s="115" t="str">
        <v>USD_CURVE_OIS_4M</v>
      </c>
      <c r="W15" s="116">
        <f>IF(V15="","",'ON Pricing'!$G15*100)</f>
        <v>0.23699999992420648</v>
      </c>
      <c r="X15" s="116">
        <f t="shared" si="4"/>
        <v>0.23699999992420648</v>
      </c>
      <c r="Y15" s="115"/>
      <c r="Z15" s="116" t="str">
        <f>IF(Y15="","",'STD Pricing'!$G15*100)</f>
        <v/>
      </c>
      <c r="AA15" s="116" t="str">
        <f t="shared" si="5"/>
        <v/>
      </c>
      <c r="AB15" s="23"/>
      <c r="AC15" s="142">
        <f>IF($C15=" ","",ROUND(ABS(_xll.RtGet(SourceAlias,$J15,BID)-K15),4))</f>
        <v>1.2699999999999999E-2</v>
      </c>
      <c r="AD15" s="142">
        <f>IF($C15=" ","",ROUND(ABS(_xll.RtGet(SourceAlias,$J15,ASK)-L15),4))</f>
        <v>1.2699999999999999E-2</v>
      </c>
      <c r="AE15" s="142">
        <f>IF($D15=" ","",ROUND(ABS(_xll.RtGet(SourceAlias,$M15,BID)-N15),4))</f>
        <v>2.0000000000000001E-4</v>
      </c>
      <c r="AF15" s="142">
        <f>IF($D15=" ","",ROUND(ABS(_xll.RtGet(SourceAlias,$M15,ASK)-O15),4))</f>
        <v>2.0000000000000001E-4</v>
      </c>
      <c r="AG15" s="142">
        <f>IF($E15=" ","",ROUND(ABS(_xll.RtGet(SourceAlias,$P15,BID)-Q15),4))</f>
        <v>0</v>
      </c>
      <c r="AH15" s="142">
        <f>IF($E15=" ","",ROUND(ABS(_xll.RtGet(SourceAlias,$P15,ASK)-R15),4))</f>
        <v>0</v>
      </c>
      <c r="AI15" s="142">
        <f>IF($F15=" ","",ROUND(ABS(_xll.RtGet(SourceAlias,$S15,BID)-T15),4))</f>
        <v>1E-4</v>
      </c>
      <c r="AJ15" s="142">
        <f>IF($F15=" ","",ROUND(ABS(_xll.RtGet(SourceAlias,$S15,ASK)-U15),4))</f>
        <v>1E-4</v>
      </c>
      <c r="AK15" s="142">
        <f>IF($G15=" ","",ROUND(ABS(_xll.RtGet(SourceAlias,$V15,BID)-W15),4))</f>
        <v>0</v>
      </c>
      <c r="AL15" s="142">
        <f>IF($G15=" ","",ROUND(ABS(_xll.RtGet(SourceAlias,$V15,ASK)-X15),4))</f>
        <v>0</v>
      </c>
      <c r="AM15" s="142"/>
      <c r="AN15" s="142"/>
    </row>
    <row r="16" spans="1:40" ht="11.25" customHeight="1" x14ac:dyDescent="0.2">
      <c r="A16" s="195"/>
      <c r="B16" s="49" t="s">
        <v>20</v>
      </c>
      <c r="C16" s="86" t="str">
        <f>IF(Contribute="abcd",IF($E$2&lt;&gt;-1,_xll.RtContribute(SourceAlias,J16,Fields,K16:L16,"SCOPE:SERVER"),_xll.RtContribute(SourceAlias,"DDS_INSERT_S",$E$2:$G$2,J16:L16,"SCOPE:SERVER FTC:ALL")),"stopped")</f>
        <v>stopped</v>
      </c>
      <c r="D16" s="139" t="str">
        <f>IF(Contribute="abcd",IF($E$2&lt;&gt;-1,_xll.RtContribute(SourceAlias,M16,Fields,N16:O16,"SCOPE:SERVER"),_xll.RtContribute(SourceAlias,"DDS_INSERT_S",$E$2:$G$2,M16:O16,"SCOPE:SERVER FTC:ALL")),"stopped")</f>
        <v>stopped</v>
      </c>
      <c r="E16" s="86" t="str">
        <f>IF(Contribute="abcd",IF($E$2&lt;&gt;-1,_xll.RtContribute(SourceAlias,P16,Fields,Q16:R16,"SCOPE:SERVER"),_xll.RtContribute(SourceAlias,"DDS_INSERT_S",$E$2:$G$2,P16:R16,"SCOPE:SERVER FTC:ALL")),"stopped")</f>
        <v>stopped</v>
      </c>
      <c r="F16" s="86" t="str">
        <f>IF(Contribute="abcd",IF($E$2&lt;&gt;-1,_xll.RtContribute(SourceAlias,S16,Fields,T16:U16,"SCOPE:SERVER"),_xll.RtContribute(SourceAlias,"DDS_INSERT_S",$E$2:$G$2,T16:U16,"SCOPE:SERVER FTC:ALL")),"stopped")</f>
        <v>stopped</v>
      </c>
      <c r="G16" s="136" t="str">
        <f>IF(Contribute="abcd",IF($E$2&lt;&gt;-1,_xll.RtContribute(SourceAlias,V16,Fields,W16:X16,"SCOPE:SERVER"),_xll.RtContribute(SourceAlias,"DDS_INSERT_S",$E$2:$G$2,V16:X16,"SCOPE:SERVER FTC:ALL")),"stopped")</f>
        <v>stopped</v>
      </c>
      <c r="H16" s="136" t="s">
        <v>46</v>
      </c>
      <c r="I16" s="18" t="s">
        <v>46</v>
      </c>
      <c r="J16" s="115" t="str">
        <v>USD_CURVE_DEP1M_5M</v>
      </c>
      <c r="K16" s="116">
        <f>IF(J16="","",'1M Pricing'!$I16*100)</f>
        <v>0.31048510671382495</v>
      </c>
      <c r="L16" s="116">
        <f t="shared" si="0"/>
        <v>0.31048510671382495</v>
      </c>
      <c r="M16" s="117" t="str">
        <v>USD_CURVE_DEP3M_5M</v>
      </c>
      <c r="N16" s="116">
        <f>IF(M16="","",'3M Pricing'!$I16*100)</f>
        <v>0.38516276380217612</v>
      </c>
      <c r="O16" s="116">
        <f t="shared" si="1"/>
        <v>0.38516276380217612</v>
      </c>
      <c r="P16" s="117" t="str">
        <v>USD_CURVE_DEP6M_5M</v>
      </c>
      <c r="Q16" s="116">
        <f>IF(P16="","",'6M Pricing'!$I16*100)</f>
        <v>0.52739999999996878</v>
      </c>
      <c r="R16" s="116">
        <f t="shared" si="2"/>
        <v>0.52739999999996878</v>
      </c>
      <c r="S16" s="117" t="str">
        <v>USD_CURVE_DEP12M_5M</v>
      </c>
      <c r="T16" s="116">
        <f>IF(S16="","",'1Y Pricing'!$I16*100)</f>
        <v>0.86899999999633837</v>
      </c>
      <c r="U16" s="116">
        <f t="shared" si="3"/>
        <v>0.86899999999633837</v>
      </c>
      <c r="V16" s="115" t="str">
        <v>USD_CURVE_OIS_5M</v>
      </c>
      <c r="W16" s="116">
        <f>IF(V16="","",'ON Pricing'!$G16*100)</f>
        <v>0.25499999993909317</v>
      </c>
      <c r="X16" s="116">
        <f t="shared" si="4"/>
        <v>0.25499999993909317</v>
      </c>
      <c r="Y16" s="115"/>
      <c r="Z16" s="116" t="str">
        <f>IF(Y16="","",'STD Pricing'!$G16*100)</f>
        <v/>
      </c>
      <c r="AA16" s="116" t="str">
        <f t="shared" si="5"/>
        <v/>
      </c>
      <c r="AB16" s="23"/>
      <c r="AC16" s="142">
        <f>IF($C16=" ","",ROUND(ABS(_xll.RtGet(SourceAlias,$J16,BID)-K16),4))</f>
        <v>1.03E-2</v>
      </c>
      <c r="AD16" s="142">
        <f>IF($C16=" ","",ROUND(ABS(_xll.RtGet(SourceAlias,$J16,ASK)-L16),4))</f>
        <v>1.03E-2</v>
      </c>
      <c r="AE16" s="142">
        <f>IF($D16=" ","",ROUND(ABS(_xll.RtGet(SourceAlias,$M16,BID)-N16),4))</f>
        <v>1E-4</v>
      </c>
      <c r="AF16" s="142">
        <f>IF($D16=" ","",ROUND(ABS(_xll.RtGet(SourceAlias,$M16,ASK)-O16),4))</f>
        <v>1E-4</v>
      </c>
      <c r="AG16" s="142">
        <f>IF($E16=" ","",ROUND(ABS(_xll.RtGet(SourceAlias,$P16,BID)-Q16),4))</f>
        <v>0</v>
      </c>
      <c r="AH16" s="142">
        <f>IF($E16=" ","",ROUND(ABS(_xll.RtGet(SourceAlias,$P16,ASK)-R16),4))</f>
        <v>0</v>
      </c>
      <c r="AI16" s="142">
        <f>IF($F16=" ","",ROUND(ABS(_xll.RtGet(SourceAlias,$S16,BID)-T16),4))</f>
        <v>1E-4</v>
      </c>
      <c r="AJ16" s="142">
        <f>IF($F16=" ","",ROUND(ABS(_xll.RtGet(SourceAlias,$S16,ASK)-U16),4))</f>
        <v>1E-4</v>
      </c>
      <c r="AK16" s="142">
        <f>IF($G16=" ","",ROUND(ABS(_xll.RtGet(SourceAlias,$V16,BID)-W16),4))</f>
        <v>0</v>
      </c>
      <c r="AL16" s="142">
        <f>IF($G16=" ","",ROUND(ABS(_xll.RtGet(SourceAlias,$V16,ASK)-X16),4))</f>
        <v>0</v>
      </c>
      <c r="AM16" s="142"/>
      <c r="AN16" s="142"/>
    </row>
    <row r="17" spans="1:40" ht="11.25" customHeight="1" x14ac:dyDescent="0.2">
      <c r="A17" s="195"/>
      <c r="B17" s="49" t="s">
        <v>13</v>
      </c>
      <c r="C17" s="86" t="str">
        <f>IF(Contribute="abcd",IF($E$2&lt;&gt;-1,_xll.RtContribute(SourceAlias,J17,Fields,K17:L17,"SCOPE:SERVER"),_xll.RtContribute(SourceAlias,"DDS_INSERT_S",$E$2:$G$2,J17:L17,"SCOPE:SERVER FTC:ALL")),"stopped")</f>
        <v>stopped</v>
      </c>
      <c r="D17" s="139" t="str">
        <f>IF(Contribute="abcd",IF($E$2&lt;&gt;-1,_xll.RtContribute(SourceAlias,M17,Fields,N17:O17,"SCOPE:SERVER"),_xll.RtContribute(SourceAlias,"DDS_INSERT_S",$E$2:$G$2,M17:O17,"SCOPE:SERVER FTC:ALL")),"stopped")</f>
        <v>stopped</v>
      </c>
      <c r="E17" s="86" t="str">
        <f>IF(Contribute="abcd",IF($E$2&lt;&gt;-1,_xll.RtContribute(SourceAlias,P17,Fields,Q17:R17,"SCOPE:SERVER"),_xll.RtContribute(SourceAlias,"DDS_INSERT_S",$E$2:$G$2,P17:R17,"SCOPE:SERVER FTC:ALL")),"stopped")</f>
        <v>stopped</v>
      </c>
      <c r="F17" s="86" t="str">
        <f>IF(Contribute="abcd",IF($E$2&lt;&gt;-1,_xll.RtContribute(SourceAlias,S17,Fields,T17:U17,"SCOPE:SERVER"),_xll.RtContribute(SourceAlias,"DDS_INSERT_S",$E$2:$G$2,T17:U17,"SCOPE:SERVER FTC:ALL")),"stopped")</f>
        <v>stopped</v>
      </c>
      <c r="G17" s="136" t="str">
        <f>IF(Contribute="abcd",IF($E$2&lt;&gt;-1,_xll.RtContribute(SourceAlias,V17,Fields,W17:X17,"SCOPE:SERVER"),_xll.RtContribute(SourceAlias,"DDS_INSERT_S",$E$2:$G$2,V17:X17,"SCOPE:SERVER FTC:ALL")),"stopped")</f>
        <v>stopped</v>
      </c>
      <c r="H17" s="136" t="s">
        <v>46</v>
      </c>
      <c r="I17" s="18" t="s">
        <v>46</v>
      </c>
      <c r="J17" s="115" t="str">
        <v>USD_CURVE_DEP1M_6M</v>
      </c>
      <c r="K17" s="116">
        <f>IF(J17="","",'1M Pricing'!$I17*100)</f>
        <v>0.32903763651585433</v>
      </c>
      <c r="L17" s="116">
        <f t="shared" si="0"/>
        <v>0.32903763651585433</v>
      </c>
      <c r="M17" s="117" t="str">
        <v>USD_CURVE_DEP3M_6M</v>
      </c>
      <c r="N17" s="116">
        <f>IF(M17="","",'3M Pricing'!$I17*100)</f>
        <v>0.40234252819940242</v>
      </c>
      <c r="O17" s="116">
        <f t="shared" si="1"/>
        <v>0.40234252819940242</v>
      </c>
      <c r="P17" s="117" t="str">
        <v>USD_CURVE_DEP6M_6M</v>
      </c>
      <c r="Q17" s="116">
        <f>IF(P17="","",'6M Pricing'!$I17*100)</f>
        <v>0.53799999999999337</v>
      </c>
      <c r="R17" s="116">
        <f t="shared" si="2"/>
        <v>0.53799999999999337</v>
      </c>
      <c r="S17" s="117" t="str">
        <v>USD_CURVE_DEP12M_6M</v>
      </c>
      <c r="T17" s="116">
        <f>IF(S17="","",'1Y Pricing'!$I17*100)</f>
        <v>0.86419999999997554</v>
      </c>
      <c r="U17" s="116">
        <f t="shared" si="3"/>
        <v>0.86419999999997554</v>
      </c>
      <c r="V17" s="115" t="str">
        <v>USD_CURVE_OIS_6M</v>
      </c>
      <c r="W17" s="116">
        <f>IF(V17="","",'ON Pricing'!$G17*100)</f>
        <v>0.26999999994875629</v>
      </c>
      <c r="X17" s="116">
        <f t="shared" si="4"/>
        <v>0.26999999994875629</v>
      </c>
      <c r="Y17" s="115"/>
      <c r="Z17" s="116" t="str">
        <f>IF(Y17="","",'STD Pricing'!$G17*100)</f>
        <v/>
      </c>
      <c r="AA17" s="116" t="str">
        <f t="shared" si="5"/>
        <v/>
      </c>
      <c r="AB17" s="23" t="s">
        <v>46</v>
      </c>
      <c r="AC17" s="142">
        <f>IF($C17=" ","",ROUND(ABS(_xll.RtGet(SourceAlias,$J17,BID)-K17),4))</f>
        <v>8.8000000000000005E-3</v>
      </c>
      <c r="AD17" s="142">
        <f>IF($C17=" ","",ROUND(ABS(_xll.RtGet(SourceAlias,$J17,ASK)-L17),4))</f>
        <v>8.8000000000000005E-3</v>
      </c>
      <c r="AE17" s="142">
        <f>IF($D17=" ","",ROUND(ABS(_xll.RtGet(SourceAlias,$M17,BID)-N17),4))</f>
        <v>0</v>
      </c>
      <c r="AF17" s="142">
        <f>IF($D17=" ","",ROUND(ABS(_xll.RtGet(SourceAlias,$M17,ASK)-O17),4))</f>
        <v>0</v>
      </c>
      <c r="AG17" s="142">
        <f>IF($E17=" ","",ROUND(ABS(_xll.RtGet(SourceAlias,$P17,BID)-Q17),4))</f>
        <v>0</v>
      </c>
      <c r="AH17" s="142">
        <f>IF($E17=" ","",ROUND(ABS(_xll.RtGet(SourceAlias,$P17,ASK)-R17),4))</f>
        <v>0</v>
      </c>
      <c r="AI17" s="142">
        <f>IF($F17=" ","",ROUND(ABS(_xll.RtGet(SourceAlias,$S17,BID)-T17),4))</f>
        <v>1E-4</v>
      </c>
      <c r="AJ17" s="142">
        <f>IF($F17=" ","",ROUND(ABS(_xll.RtGet(SourceAlias,$S17,ASK)-U17),4))</f>
        <v>1E-4</v>
      </c>
      <c r="AK17" s="142">
        <f>IF($G17=" ","",ROUND(ABS(_xll.RtGet(SourceAlias,$V17,BID)-W17),4))</f>
        <v>0</v>
      </c>
      <c r="AL17" s="142">
        <f>IF($G17=" ","",ROUND(ABS(_xll.RtGet(SourceAlias,$V17,ASK)-X17),4))</f>
        <v>0</v>
      </c>
      <c r="AM17" s="142"/>
      <c r="AN17" s="142"/>
    </row>
    <row r="18" spans="1:40" ht="11.25" customHeight="1" x14ac:dyDescent="0.2">
      <c r="A18" s="195"/>
      <c r="B18" s="49" t="s">
        <v>65</v>
      </c>
      <c r="C18" s="86" t="str">
        <f>IF(Contribute="abcd",IF($E$2&lt;&gt;-1,_xll.RtContribute(SourceAlias,J18,Fields,K18:L18,"SCOPE:SERVER"),_xll.RtContribute(SourceAlias,"DDS_INSERT_S",$E$2:$G$2,J18:L18,"SCOPE:SERVER FTC:ALL")),"stopped")</f>
        <v>stopped</v>
      </c>
      <c r="D18" s="139" t="str">
        <f>IF(Contribute="abcd",IF($E$2&lt;&gt;-1,_xll.RtContribute(SourceAlias,M18,Fields,N18:O18,"SCOPE:SERVER"),_xll.RtContribute(SourceAlias,"DDS_INSERT_S",$E$2:$G$2,M18:O18,"SCOPE:SERVER FTC:ALL")),"stopped")</f>
        <v>stopped</v>
      </c>
      <c r="E18" s="86" t="str">
        <f>IF(Contribute="abcd",IF($E$2&lt;&gt;-1,_xll.RtContribute(SourceAlias,P18,Fields,Q18:R18,"SCOPE:SERVER"),_xll.RtContribute(SourceAlias,"DDS_INSERT_S",$E$2:$G$2,P18:R18,"SCOPE:SERVER FTC:ALL")),"stopped")</f>
        <v>stopped</v>
      </c>
      <c r="F18" s="86" t="str">
        <f>IF(Contribute="abcd",IF($E$2&lt;&gt;-1,_xll.RtContribute(SourceAlias,S18,Fields,T18:U18,"SCOPE:SERVER"),_xll.RtContribute(SourceAlias,"DDS_INSERT_S",$E$2:$G$2,T18:U18,"SCOPE:SERVER FTC:ALL")),"stopped")</f>
        <v>stopped</v>
      </c>
      <c r="G18" s="136" t="str">
        <f>IF(Contribute="abcd",IF($E$2&lt;&gt;-1,_xll.RtContribute(SourceAlias,V18,Fields,W18:X18,"SCOPE:SERVER"),_xll.RtContribute(SourceAlias,"DDS_INSERT_S",$E$2:$G$2,V18:X18,"SCOPE:SERVER FTC:ALL")),"stopped")</f>
        <v>stopped</v>
      </c>
      <c r="H18" s="136" t="s">
        <v>46</v>
      </c>
      <c r="I18" s="18" t="s">
        <v>46</v>
      </c>
      <c r="J18" s="115" t="str">
        <v>USD_CURVE_DEP1M_7M</v>
      </c>
      <c r="K18" s="116">
        <f>IF(J18="","",'1M Pricing'!$I18*100)</f>
        <v>0.34929209923527837</v>
      </c>
      <c r="L18" s="116">
        <f t="shared" si="0"/>
        <v>0.34929209923527837</v>
      </c>
      <c r="M18" s="117" t="str">
        <v>USD_CURVE_DEP3M_7M</v>
      </c>
      <c r="N18" s="116">
        <f>IF(M18="","",'3M Pricing'!$I18*100)</f>
        <v>0.42335165198942992</v>
      </c>
      <c r="O18" s="116">
        <f t="shared" si="1"/>
        <v>0.42335165198942992</v>
      </c>
      <c r="P18" s="117" t="str">
        <v>USD_CURVE_DEP6M_7M</v>
      </c>
      <c r="Q18" s="116">
        <f>IF(P18="","",'6M Pricing'!$I18*100)</f>
        <v>0.55804662765090163</v>
      </c>
      <c r="R18" s="116">
        <f t="shared" si="2"/>
        <v>0.55804662765090163</v>
      </c>
      <c r="S18" s="117" t="str">
        <v>USD_CURVE_DEP12M_7M</v>
      </c>
      <c r="T18" s="116">
        <f>IF(S18="","",'1Y Pricing'!$I18*100)</f>
        <v>0.86074674601686607</v>
      </c>
      <c r="U18" s="116">
        <f t="shared" si="3"/>
        <v>0.86074674601686607</v>
      </c>
      <c r="V18" s="115" t="str">
        <v>USD_CURVE_OIS_7M</v>
      </c>
      <c r="W18" s="116">
        <f>IF(V18="","",'ON Pricing'!$G18*100)</f>
        <v>0.29099999995640641</v>
      </c>
      <c r="X18" s="116">
        <f t="shared" si="4"/>
        <v>0.29099999995640641</v>
      </c>
      <c r="Y18" s="115"/>
      <c r="Z18" s="116" t="str">
        <f>IF(Y18="","",'STD Pricing'!$G18*100)</f>
        <v/>
      </c>
      <c r="AA18" s="116" t="str">
        <f t="shared" si="5"/>
        <v/>
      </c>
      <c r="AB18" s="23"/>
      <c r="AC18" s="142">
        <f>IF($C18=" ","",ROUND(ABS(_xll.RtGet(SourceAlias,$J18,BID)-K18),4))</f>
        <v>7.6E-3</v>
      </c>
      <c r="AD18" s="142">
        <f>IF($C18=" ","",ROUND(ABS(_xll.RtGet(SourceAlias,$J18,ASK)-L18),4))</f>
        <v>7.6E-3</v>
      </c>
      <c r="AE18" s="142">
        <f>IF($D18=" ","",ROUND(ABS(_xll.RtGet(SourceAlias,$M18,BID)-N18),4))</f>
        <v>0</v>
      </c>
      <c r="AF18" s="142">
        <f>IF($D18=" ","",ROUND(ABS(_xll.RtGet(SourceAlias,$M18,ASK)-O18),4))</f>
        <v>0</v>
      </c>
      <c r="AG18" s="142">
        <f>IF($E18=" ","",ROUND(ABS(_xll.RtGet(SourceAlias,$P18,BID)-Q18),4))</f>
        <v>0</v>
      </c>
      <c r="AH18" s="142">
        <f>IF($E18=" ","",ROUND(ABS(_xll.RtGet(SourceAlias,$P18,ASK)-R18),4))</f>
        <v>0</v>
      </c>
      <c r="AI18" s="142">
        <f>IF($F18=" ","",ROUND(ABS(_xll.RtGet(SourceAlias,$S18,BID)-T18),4))</f>
        <v>0</v>
      </c>
      <c r="AJ18" s="142">
        <f>IF($F18=" ","",ROUND(ABS(_xll.RtGet(SourceAlias,$S18,ASK)-U18),4))</f>
        <v>0</v>
      </c>
      <c r="AK18" s="142">
        <f>IF($G18=" ","",ROUND(ABS(_xll.RtGet(SourceAlias,$V18,BID)-W18),4))</f>
        <v>0</v>
      </c>
      <c r="AL18" s="142">
        <f>IF($G18=" ","",ROUND(ABS(_xll.RtGet(SourceAlias,$V18,ASK)-X18),4))</f>
        <v>0</v>
      </c>
      <c r="AM18" s="142"/>
      <c r="AN18" s="142"/>
    </row>
    <row r="19" spans="1:40" ht="11.25" customHeight="1" x14ac:dyDescent="0.2">
      <c r="A19" s="195"/>
      <c r="B19" s="49" t="s">
        <v>66</v>
      </c>
      <c r="C19" s="86" t="str">
        <f>IF(Contribute="abcd",IF($E$2&lt;&gt;-1,_xll.RtContribute(SourceAlias,J19,Fields,K19:L19,"SCOPE:SERVER"),_xll.RtContribute(SourceAlias,"DDS_INSERT_S",$E$2:$G$2,J19:L19,"SCOPE:SERVER FTC:ALL")),"stopped")</f>
        <v>stopped</v>
      </c>
      <c r="D19" s="139" t="str">
        <f>IF(Contribute="abcd",IF($E$2&lt;&gt;-1,_xll.RtContribute(SourceAlias,M19,Fields,N19:O19,"SCOPE:SERVER"),_xll.RtContribute(SourceAlias,"DDS_INSERT_S",$E$2:$G$2,M19:O19,"SCOPE:SERVER FTC:ALL")),"stopped")</f>
        <v>stopped</v>
      </c>
      <c r="E19" s="86" t="str">
        <f>IF(Contribute="abcd",IF($E$2&lt;&gt;-1,_xll.RtContribute(SourceAlias,P19,Fields,Q19:R19,"SCOPE:SERVER"),_xll.RtContribute(SourceAlias,"DDS_INSERT_S",$E$2:$G$2,P19:R19,"SCOPE:SERVER FTC:ALL")),"stopped")</f>
        <v>stopped</v>
      </c>
      <c r="F19" s="86" t="str">
        <f>IF(Contribute="abcd",IF($E$2&lt;&gt;-1,_xll.RtContribute(SourceAlias,S19,Fields,T19:U19,"SCOPE:SERVER"),_xll.RtContribute(SourceAlias,"DDS_INSERT_S",$E$2:$G$2,T19:U19,"SCOPE:SERVER FTC:ALL")),"stopped")</f>
        <v>stopped</v>
      </c>
      <c r="G19" s="136" t="str">
        <f>IF(Contribute="abcd",IF($E$2&lt;&gt;-1,_xll.RtContribute(SourceAlias,V19,Fields,W19:X19,"SCOPE:SERVER"),_xll.RtContribute(SourceAlias,"DDS_INSERT_S",$E$2:$G$2,V19:X19,"SCOPE:SERVER FTC:ALL")),"stopped")</f>
        <v>stopped</v>
      </c>
      <c r="H19" s="136" t="s">
        <v>46</v>
      </c>
      <c r="I19" s="18" t="s">
        <v>46</v>
      </c>
      <c r="J19" s="115" t="str">
        <v>USD_CURVE_DEP1M_8M</v>
      </c>
      <c r="K19" s="116">
        <f>IF(J19="","",'1M Pricing'!$I19*100)</f>
        <v>0.36779483102441951</v>
      </c>
      <c r="L19" s="116">
        <f t="shared" si="0"/>
        <v>0.36779483102441951</v>
      </c>
      <c r="M19" s="117" t="str">
        <v>USD_CURVE_DEP3M_8M</v>
      </c>
      <c r="N19" s="116">
        <f>IF(M19="","",'3M Pricing'!$I19*100)</f>
        <v>0.44426484949399447</v>
      </c>
      <c r="O19" s="116">
        <f t="shared" si="1"/>
        <v>0.44426484949399447</v>
      </c>
      <c r="P19" s="117" t="str">
        <v>USD_CURVE_DEP6M_8M</v>
      </c>
      <c r="Q19" s="116">
        <f>IF(P19="","",'6M Pricing'!$I19*100)</f>
        <v>0.5816949190814148</v>
      </c>
      <c r="R19" s="116">
        <f t="shared" si="2"/>
        <v>0.5816949190814148</v>
      </c>
      <c r="S19" s="117" t="str">
        <v>USD_CURVE_DEP12M_8M</v>
      </c>
      <c r="T19" s="116">
        <f>IF(S19="","",'1Y Pricing'!$I19*100)</f>
        <v>0.85911937416855899</v>
      </c>
      <c r="U19" s="116">
        <f t="shared" si="3"/>
        <v>0.85911937416855899</v>
      </c>
      <c r="V19" s="115" t="str">
        <v>USD_CURVE_OIS_8M</v>
      </c>
      <c r="W19" s="116">
        <f>IF(V19="","",'ON Pricing'!$G19*100)</f>
        <v>0.30899999996157762</v>
      </c>
      <c r="X19" s="116">
        <f t="shared" si="4"/>
        <v>0.30899999996157762</v>
      </c>
      <c r="Y19" s="115"/>
      <c r="Z19" s="116" t="str">
        <f>IF(Y19="","",'STD Pricing'!$G19*100)</f>
        <v/>
      </c>
      <c r="AA19" s="116" t="str">
        <f t="shared" si="5"/>
        <v/>
      </c>
      <c r="AB19" s="23"/>
      <c r="AC19" s="142">
        <f>IF($C19=" ","",ROUND(ABS(_xll.RtGet(SourceAlias,$J19,BID)-K19),4))</f>
        <v>6.7000000000000002E-3</v>
      </c>
      <c r="AD19" s="142">
        <f>IF($C19=" ","",ROUND(ABS(_xll.RtGet(SourceAlias,$J19,ASK)-L19),4))</f>
        <v>6.7000000000000002E-3</v>
      </c>
      <c r="AE19" s="142">
        <f>IF($D19=" ","",ROUND(ABS(_xll.RtGet(SourceAlias,$M19,BID)-N19),4))</f>
        <v>0</v>
      </c>
      <c r="AF19" s="142">
        <f>IF($D19=" ","",ROUND(ABS(_xll.RtGet(SourceAlias,$M19,ASK)-O19),4))</f>
        <v>0</v>
      </c>
      <c r="AG19" s="142">
        <f>IF($E19=" ","",ROUND(ABS(_xll.RtGet(SourceAlias,$P19,BID)-Q19),4))</f>
        <v>0</v>
      </c>
      <c r="AH19" s="142">
        <f>IF($E19=" ","",ROUND(ABS(_xll.RtGet(SourceAlias,$P19,ASK)-R19),4))</f>
        <v>0</v>
      </c>
      <c r="AI19" s="142">
        <f>IF($F19=" ","",ROUND(ABS(_xll.RtGet(SourceAlias,$S19,BID)-T19),4))</f>
        <v>1E-4</v>
      </c>
      <c r="AJ19" s="142">
        <f>IF($F19=" ","",ROUND(ABS(_xll.RtGet(SourceAlias,$S19,ASK)-U19),4))</f>
        <v>1E-4</v>
      </c>
      <c r="AK19" s="142">
        <f>IF($G19=" ","",ROUND(ABS(_xll.RtGet(SourceAlias,$V19,BID)-W19),4))</f>
        <v>0</v>
      </c>
      <c r="AL19" s="142">
        <f>IF($G19=" ","",ROUND(ABS(_xll.RtGet(SourceAlias,$V19,ASK)-X19),4))</f>
        <v>0</v>
      </c>
      <c r="AM19" s="142"/>
      <c r="AN19" s="142"/>
    </row>
    <row r="20" spans="1:40" ht="11.25" customHeight="1" x14ac:dyDescent="0.2">
      <c r="A20" s="195"/>
      <c r="B20" s="49" t="s">
        <v>21</v>
      </c>
      <c r="C20" s="86" t="str">
        <f>IF(Contribute="abcd",IF($E$2&lt;&gt;-1,_xll.RtContribute(SourceAlias,J20,Fields,K20:L20,"SCOPE:SERVER"),_xll.RtContribute(SourceAlias,"DDS_INSERT_S",$E$2:$G$2,J20:L20,"SCOPE:SERVER FTC:ALL")),"stopped")</f>
        <v>stopped</v>
      </c>
      <c r="D20" s="139" t="str">
        <f>IF(Contribute="abcd",IF($E$2&lt;&gt;-1,_xll.RtContribute(SourceAlias,M20,Fields,N20:O20,"SCOPE:SERVER"),_xll.RtContribute(SourceAlias,"DDS_INSERT_S",$E$2:$G$2,M20:O20,"SCOPE:SERVER FTC:ALL")),"stopped")</f>
        <v>stopped</v>
      </c>
      <c r="E20" s="86" t="str">
        <f>IF(Contribute="abcd",IF($E$2&lt;&gt;-1,_xll.RtContribute(SourceAlias,P20,Fields,Q20:R20,"SCOPE:SERVER"),_xll.RtContribute(SourceAlias,"DDS_INSERT_S",$E$2:$G$2,P20:R20,"SCOPE:SERVER FTC:ALL")),"stopped")</f>
        <v>stopped</v>
      </c>
      <c r="F20" s="86" t="str">
        <f>IF(Contribute="abcd",IF($E$2&lt;&gt;-1,_xll.RtContribute(SourceAlias,S20,Fields,T20:U20,"SCOPE:SERVER"),_xll.RtContribute(SourceAlias,"DDS_INSERT_S",$E$2:$G$2,T20:U20,"SCOPE:SERVER FTC:ALL")),"stopped")</f>
        <v>stopped</v>
      </c>
      <c r="G20" s="136" t="str">
        <f>IF(Contribute="abcd",IF($E$2&lt;&gt;-1,_xll.RtContribute(SourceAlias,V20,Fields,W20:X20,"SCOPE:SERVER"),_xll.RtContribute(SourceAlias,"DDS_INSERT_S",$E$2:$G$2,V20:X20,"SCOPE:SERVER FTC:ALL")),"stopped")</f>
        <v>stopped</v>
      </c>
      <c r="H20" s="136" t="s">
        <v>46</v>
      </c>
      <c r="I20" s="18" t="s">
        <v>46</v>
      </c>
      <c r="J20" s="115" t="str">
        <v>USD_CURVE_DEP1M_9M</v>
      </c>
      <c r="K20" s="116">
        <f>IF(J20="","",'1M Pricing'!$I20*100)</f>
        <v>0.38805600716245026</v>
      </c>
      <c r="L20" s="116">
        <f t="shared" si="0"/>
        <v>0.38805600716245026</v>
      </c>
      <c r="M20" s="117" t="str">
        <v>USD_CURVE_DEP3M_9M</v>
      </c>
      <c r="N20" s="116">
        <f>IF(M20="","",'3M Pricing'!$I20*100)</f>
        <v>0.46744371125057876</v>
      </c>
      <c r="O20" s="116">
        <f t="shared" si="1"/>
        <v>0.46744371125057876</v>
      </c>
      <c r="P20" s="117" t="str">
        <v>USD_CURVE_DEP6M_9M</v>
      </c>
      <c r="Q20" s="116">
        <f>IF(P20="","",'6M Pricing'!$I20*100)</f>
        <v>0.59945107534068853</v>
      </c>
      <c r="R20" s="116">
        <f t="shared" si="2"/>
        <v>0.59945107534068853</v>
      </c>
      <c r="S20" s="117" t="str">
        <v>USD_CURVE_DEP12M_9M</v>
      </c>
      <c r="T20" s="116">
        <f>IF(S20="","",'1Y Pricing'!$I20*100)</f>
        <v>0.85829999999999151</v>
      </c>
      <c r="U20" s="116">
        <f t="shared" si="3"/>
        <v>0.85829999999999151</v>
      </c>
      <c r="V20" s="115" t="str">
        <v>USD_CURVE_OIS_9M</v>
      </c>
      <c r="W20" s="116">
        <f>IF(V20="","",'ON Pricing'!$G20*100)</f>
        <v>0.32699999996591728</v>
      </c>
      <c r="X20" s="116">
        <f t="shared" si="4"/>
        <v>0.32699999996591728</v>
      </c>
      <c r="Y20" s="115"/>
      <c r="Z20" s="116" t="str">
        <f>IF(Y20="","",'STD Pricing'!$G20*100)</f>
        <v/>
      </c>
      <c r="AA20" s="116" t="str">
        <f t="shared" si="5"/>
        <v/>
      </c>
      <c r="AB20" s="23" t="s">
        <v>46</v>
      </c>
      <c r="AC20" s="142">
        <f>IF($C20=" ","",ROUND(ABS(_xll.RtGet(SourceAlias,$J20,BID)-K20),4))</f>
        <v>5.8999999999999999E-3</v>
      </c>
      <c r="AD20" s="142">
        <f>IF($C20=" ","",ROUND(ABS(_xll.RtGet(SourceAlias,$J20,ASK)-L20),4))</f>
        <v>5.8999999999999999E-3</v>
      </c>
      <c r="AE20" s="142">
        <f>IF($D20=" ","",ROUND(ABS(_xll.RtGet(SourceAlias,$M20,BID)-N20),4))</f>
        <v>0</v>
      </c>
      <c r="AF20" s="142">
        <f>IF($D20=" ","",ROUND(ABS(_xll.RtGet(SourceAlias,$M20,ASK)-O20),4))</f>
        <v>0</v>
      </c>
      <c r="AG20" s="142">
        <f>IF($E20=" ","",ROUND(ABS(_xll.RtGet(SourceAlias,$P20,BID)-Q20),4))</f>
        <v>0</v>
      </c>
      <c r="AH20" s="142">
        <f>IF($E20=" ","",ROUND(ABS(_xll.RtGet(SourceAlias,$P20,ASK)-R20),4))</f>
        <v>0</v>
      </c>
      <c r="AI20" s="142">
        <f>IF($F20=" ","",ROUND(ABS(_xll.RtGet(SourceAlias,$S20,BID)-T20),4))</f>
        <v>0</v>
      </c>
      <c r="AJ20" s="142">
        <f>IF($F20=" ","",ROUND(ABS(_xll.RtGet(SourceAlias,$S20,ASK)-U20),4))</f>
        <v>0</v>
      </c>
      <c r="AK20" s="142">
        <f>IF($G20=" ","",ROUND(ABS(_xll.RtGet(SourceAlias,$V20,BID)-W20),4))</f>
        <v>0</v>
      </c>
      <c r="AL20" s="142">
        <f>IF($G20=" ","",ROUND(ABS(_xll.RtGet(SourceAlias,$V20,ASK)-X20),4))</f>
        <v>0</v>
      </c>
      <c r="AM20" s="142"/>
      <c r="AN20" s="142"/>
    </row>
    <row r="21" spans="1:40" ht="11.25" customHeight="1" x14ac:dyDescent="0.2">
      <c r="A21" s="195"/>
      <c r="B21" s="49" t="s">
        <v>67</v>
      </c>
      <c r="C21" s="86" t="s">
        <v>46</v>
      </c>
      <c r="D21" s="86" t="s">
        <v>46</v>
      </c>
      <c r="E21" s="86" t="s">
        <v>46</v>
      </c>
      <c r="F21" s="86" t="s">
        <v>46</v>
      </c>
      <c r="G21" s="136" t="str">
        <f>IF(Contribute="abcd",IF($E$2&lt;&gt;-1,_xll.RtContribute(SourceAlias,V21,Fields,W21:X21,"SCOPE:SERVER"),_xll.RtContribute(SourceAlias,"DDS_INSERT_S",$E$2:$G$2,V21:X21,"SCOPE:SERVER FTC:ALL")),"stopped")</f>
        <v>stopped</v>
      </c>
      <c r="H21" s="136" t="s">
        <v>46</v>
      </c>
      <c r="I21" s="18" t="s">
        <v>46</v>
      </c>
      <c r="J21" s="115" t="str">
        <v/>
      </c>
      <c r="K21" s="120" t="str">
        <f>IF(J21="","",'1M Pricing'!$I21*100)</f>
        <v/>
      </c>
      <c r="L21" s="120" t="str">
        <f t="shared" si="0"/>
        <v/>
      </c>
      <c r="M21" s="117" t="str">
        <v/>
      </c>
      <c r="N21" s="116" t="str">
        <f>IF(M21="","",'3M Pricing'!$I21*100)</f>
        <v/>
      </c>
      <c r="O21" s="116" t="str">
        <f t="shared" si="1"/>
        <v/>
      </c>
      <c r="P21" s="117" t="str">
        <v/>
      </c>
      <c r="Q21" s="116" t="str">
        <f>IF(P21="","",'6M Pricing'!$I21*100)</f>
        <v/>
      </c>
      <c r="R21" s="116" t="str">
        <f t="shared" si="2"/>
        <v/>
      </c>
      <c r="S21" s="117" t="str">
        <v/>
      </c>
      <c r="T21" s="116" t="str">
        <f>IF(S21="","",'1Y Pricing'!$I21*100)</f>
        <v/>
      </c>
      <c r="U21" s="116" t="str">
        <f t="shared" si="3"/>
        <v/>
      </c>
      <c r="V21" s="115" t="str">
        <v>USD_CURVE_OIS_10M</v>
      </c>
      <c r="W21" s="120">
        <f>IF(V21="","",'ON Pricing'!$G21*100)</f>
        <v>0.34799999996936182</v>
      </c>
      <c r="X21" s="120">
        <f t="shared" si="4"/>
        <v>0.34799999996936182</v>
      </c>
      <c r="Y21" s="115"/>
      <c r="Z21" s="120" t="str">
        <f>IF(Y21="","",'STD Pricing'!$G21*100)</f>
        <v/>
      </c>
      <c r="AA21" s="120" t="str">
        <f t="shared" si="5"/>
        <v/>
      </c>
      <c r="AB21" s="23" t="s">
        <v>46</v>
      </c>
      <c r="AC21" s="142" t="str">
        <f>IF($C21=" ","",ROUND(ABS(_xll.RtGet(SourceAlias,$J21,BID)-K21),4))</f>
        <v/>
      </c>
      <c r="AD21" s="143" t="str">
        <f>IF($C21=" ","",ROUND(ABS(_xll.RtGet(SourceAlias,$J21,ASK)-L21),4))</f>
        <v/>
      </c>
      <c r="AE21" s="142" t="str">
        <f>IF($D21=" ","",ROUND(ABS(_xll.RtGet(SourceAlias,$M21,BID)-N21),4))</f>
        <v/>
      </c>
      <c r="AF21" s="143" t="str">
        <f>IF($D21=" ","",ROUND(ABS(_xll.RtGet(SourceAlias,$M21,ASK)-O21),4))</f>
        <v/>
      </c>
      <c r="AG21" s="142" t="str">
        <f>IF($E21=" ","",ROUND(ABS(_xll.RtGet(SourceAlias,$P21,BID)-Q21),4))</f>
        <v/>
      </c>
      <c r="AH21" s="143" t="str">
        <f>IF($E21=" ","",ROUND(ABS(_xll.RtGet(SourceAlias,$P21,ASK)-R21),4))</f>
        <v/>
      </c>
      <c r="AI21" s="142" t="str">
        <f>IF($F21=" ","",ROUND(ABS(_xll.RtGet(SourceAlias,$S21,BID)-T21),4))</f>
        <v/>
      </c>
      <c r="AJ21" s="143" t="str">
        <f>IF($F21=" ","",ROUND(ABS(_xll.RtGet(SourceAlias,$S21,ASK)-U21),4))</f>
        <v/>
      </c>
      <c r="AK21" s="142">
        <f>IF($G21=" ","",ROUND(ABS(_xll.RtGet(SourceAlias,$V21,BID)-W21),4))</f>
        <v>0</v>
      </c>
      <c r="AL21" s="143">
        <f>IF($G21=" ","",ROUND(ABS(_xll.RtGet(SourceAlias,$V21,ASK)-X21),4))</f>
        <v>0</v>
      </c>
      <c r="AM21" s="142"/>
      <c r="AN21" s="143"/>
    </row>
    <row r="22" spans="1:40" ht="11.25" customHeight="1" x14ac:dyDescent="0.2">
      <c r="A22" s="195"/>
      <c r="B22" s="49" t="s">
        <v>68</v>
      </c>
      <c r="C22" s="86" t="s">
        <v>46</v>
      </c>
      <c r="D22" s="86" t="s">
        <v>46</v>
      </c>
      <c r="E22" s="86" t="s">
        <v>46</v>
      </c>
      <c r="F22" s="86" t="s">
        <v>46</v>
      </c>
      <c r="G22" s="136" t="str">
        <f>IF(Contribute="abcd",IF($E$2&lt;&gt;-1,_xll.RtContribute(SourceAlias,V22,Fields,W22:X22,"SCOPE:SERVER"),_xll.RtContribute(SourceAlias,"DDS_INSERT_S",$E$2:$G$2,V22:X22,"SCOPE:SERVER FTC:ALL")),"stopped")</f>
        <v>stopped</v>
      </c>
      <c r="H22" s="136" t="s">
        <v>46</v>
      </c>
      <c r="I22" s="18" t="s">
        <v>46</v>
      </c>
      <c r="J22" s="115" t="str">
        <v/>
      </c>
      <c r="K22" s="116" t="str">
        <f>IF(J22="","",'1M Pricing'!$I22*100)</f>
        <v/>
      </c>
      <c r="L22" s="116" t="str">
        <f t="shared" si="0"/>
        <v/>
      </c>
      <c r="M22" s="117" t="str">
        <v/>
      </c>
      <c r="N22" s="116" t="str">
        <f>IF(M22="","",'3M Pricing'!$I22*100)</f>
        <v/>
      </c>
      <c r="O22" s="116" t="str">
        <f t="shared" si="1"/>
        <v/>
      </c>
      <c r="P22" s="117" t="str">
        <v/>
      </c>
      <c r="Q22" s="116" t="str">
        <f>IF(P22="","",'6M Pricing'!$I22*100)</f>
        <v/>
      </c>
      <c r="R22" s="116" t="str">
        <f t="shared" si="2"/>
        <v/>
      </c>
      <c r="S22" s="117" t="str">
        <v/>
      </c>
      <c r="T22" s="116" t="str">
        <f>IF(S22="","",'1Y Pricing'!$I22*100)</f>
        <v/>
      </c>
      <c r="U22" s="116" t="str">
        <f t="shared" si="3"/>
        <v/>
      </c>
      <c r="V22" s="115" t="str">
        <v>USD_CURVE_OIS_11M</v>
      </c>
      <c r="W22" s="116">
        <f>IF(V22="","",'ON Pricing'!$G22*100)</f>
        <v>0.36799999997210675</v>
      </c>
      <c r="X22" s="116">
        <f t="shared" si="4"/>
        <v>0.36799999997210675</v>
      </c>
      <c r="Y22" s="115"/>
      <c r="Z22" s="116" t="str">
        <f>IF(Y22="","",'STD Pricing'!$G22*100)</f>
        <v/>
      </c>
      <c r="AA22" s="116" t="str">
        <f t="shared" si="5"/>
        <v/>
      </c>
      <c r="AB22" s="23" t="s">
        <v>46</v>
      </c>
      <c r="AC22" s="142" t="str">
        <f>IF($C22=" ","",ROUND(ABS(_xll.RtGet(SourceAlias,$J22,BID)-K22),4))</f>
        <v/>
      </c>
      <c r="AD22" s="142" t="str">
        <f>IF($C22=" ","",ROUND(ABS(_xll.RtGet(SourceAlias,$J22,ASK)-L22),4))</f>
        <v/>
      </c>
      <c r="AE22" s="142" t="str">
        <f>IF($D22=" ","",ROUND(ABS(_xll.RtGet(SourceAlias,$M22,BID)-N22),4))</f>
        <v/>
      </c>
      <c r="AF22" s="142" t="str">
        <f>IF($D22=" ","",ROUND(ABS(_xll.RtGet(SourceAlias,$M22,ASK)-O22),4))</f>
        <v/>
      </c>
      <c r="AG22" s="142" t="str">
        <f>IF($E22=" ","",ROUND(ABS(_xll.RtGet(SourceAlias,$P22,BID)-Q22),4))</f>
        <v/>
      </c>
      <c r="AH22" s="142" t="str">
        <f>IF($E22=" ","",ROUND(ABS(_xll.RtGet(SourceAlias,$P22,ASK)-R22),4))</f>
        <v/>
      </c>
      <c r="AI22" s="142" t="str">
        <f>IF($F22=" ","",ROUND(ABS(_xll.RtGet(SourceAlias,$S22,BID)-T22),4))</f>
        <v/>
      </c>
      <c r="AJ22" s="142" t="str">
        <f>IF($F22=" ","",ROUND(ABS(_xll.RtGet(SourceAlias,$S22,ASK)-U22),4))</f>
        <v/>
      </c>
      <c r="AK22" s="142">
        <f>IF($G22=" ","",ROUND(ABS(_xll.RtGet(SourceAlias,$V22,BID)-W22),4))</f>
        <v>0</v>
      </c>
      <c r="AL22" s="142">
        <f>IF($G22=" ","",ROUND(ABS(_xll.RtGet(SourceAlias,$V22,ASK)-X22),4))</f>
        <v>0</v>
      </c>
      <c r="AM22" s="142"/>
      <c r="AN22" s="142"/>
    </row>
    <row r="23" spans="1:40" ht="11.25" customHeight="1" x14ac:dyDescent="0.2">
      <c r="A23" s="195"/>
      <c r="B23" s="50" t="s">
        <v>70</v>
      </c>
      <c r="C23" s="89" t="s">
        <v>46</v>
      </c>
      <c r="D23" s="89" t="s">
        <v>46</v>
      </c>
      <c r="E23" s="89" t="s">
        <v>46</v>
      </c>
      <c r="F23" s="89" t="s">
        <v>46</v>
      </c>
      <c r="G23" s="138" t="str">
        <f>IF(Contribute="abcd",IF($E$2&lt;&gt;-1,_xll.RtContribute(SourceAlias,V23,Fields,W23:X23,"SCOPE:SERVER"),_xll.RtContribute(SourceAlias,"DDS_INSERT_S",$E$2:$G$2,V23:X23,"SCOPE:SERVER FTC:ALL")),"stopped")</f>
        <v>stopped</v>
      </c>
      <c r="H23" s="138" t="s">
        <v>46</v>
      </c>
      <c r="I23" s="18" t="s">
        <v>46</v>
      </c>
      <c r="J23" s="121" t="str">
        <v/>
      </c>
      <c r="K23" s="119" t="str">
        <f>IF(J23="","",'1M Pricing'!$I24*100)</f>
        <v/>
      </c>
      <c r="L23" s="119" t="str">
        <f t="shared" si="0"/>
        <v/>
      </c>
      <c r="M23" s="118" t="str">
        <v/>
      </c>
      <c r="N23" s="119" t="str">
        <f>IF(M23="","",'3M Pricing'!$I23*100)</f>
        <v/>
      </c>
      <c r="O23" s="119" t="str">
        <f t="shared" si="1"/>
        <v/>
      </c>
      <c r="P23" s="118" t="str">
        <v/>
      </c>
      <c r="Q23" s="119" t="str">
        <f>IF(P23="","",'6M Pricing'!$I23*100)</f>
        <v/>
      </c>
      <c r="R23" s="119" t="str">
        <f t="shared" si="2"/>
        <v/>
      </c>
      <c r="S23" s="118" t="str">
        <v/>
      </c>
      <c r="T23" s="119" t="str">
        <f>IF(S23="","",'1Y Pricing'!$I23*100)</f>
        <v/>
      </c>
      <c r="U23" s="119" t="str">
        <f t="shared" si="3"/>
        <v/>
      </c>
      <c r="V23" s="121" t="str">
        <v>USD_CURVE_OIS_1Y</v>
      </c>
      <c r="W23" s="119">
        <f>IF(V23="","",'ON Pricing'!$G23*100)</f>
        <v>0.38999999997459905</v>
      </c>
      <c r="X23" s="119">
        <f t="shared" si="4"/>
        <v>0.38999999997459905</v>
      </c>
      <c r="Y23" s="121"/>
      <c r="Z23" s="119" t="str">
        <f>IF(Y23="","",'STD Pricing'!$G23*100)</f>
        <v/>
      </c>
      <c r="AA23" s="119" t="str">
        <f t="shared" si="5"/>
        <v/>
      </c>
      <c r="AB23" s="23" t="s">
        <v>46</v>
      </c>
      <c r="AC23" s="144" t="str">
        <f>IF($C23=" ","",ROUND(ABS(_xll.RtGet(SourceAlias,$J23,BID)-K23),4))</f>
        <v/>
      </c>
      <c r="AD23" s="144" t="str">
        <f>IF($C23=" ","",ROUND(ABS(_xll.RtGet(SourceAlias,$J23,ASK)-L23),4))</f>
        <v/>
      </c>
      <c r="AE23" s="144" t="str">
        <f>IF($D23=" ","",ROUND(ABS(_xll.RtGet(SourceAlias,$M23,BID)-N23),4))</f>
        <v/>
      </c>
      <c r="AF23" s="144" t="str">
        <f>IF($D23=" ","",ROUND(ABS(_xll.RtGet(SourceAlias,$M23,ASK)-O23),4))</f>
        <v/>
      </c>
      <c r="AG23" s="144" t="str">
        <f>IF($E23=" ","",ROUND(ABS(_xll.RtGet(SourceAlias,$P23,BID)-Q23),4))</f>
        <v/>
      </c>
      <c r="AH23" s="144" t="str">
        <f>IF($E23=" ","",ROUND(ABS(_xll.RtGet(SourceAlias,$P23,ASK)-R23),4))</f>
        <v/>
      </c>
      <c r="AI23" s="144" t="str">
        <f>IF($F23=" ","",ROUND(ABS(_xll.RtGet(SourceAlias,$S23,BID)-T23),4))</f>
        <v/>
      </c>
      <c r="AJ23" s="144" t="str">
        <f>IF($F23=" ","",ROUND(ABS(_xll.RtGet(SourceAlias,$S23,ASK)-U23),4))</f>
        <v/>
      </c>
      <c r="AK23" s="144">
        <f>IF($G23=" ","",ROUND(ABS(_xll.RtGet(SourceAlias,$V23,BID)-W23),4))</f>
        <v>0</v>
      </c>
      <c r="AL23" s="144">
        <f>IF($G23=" ","",ROUND(ABS(_xll.RtGet(SourceAlias,$V23,ASK)-X23),4))</f>
        <v>0</v>
      </c>
      <c r="AM23" s="144"/>
      <c r="AN23" s="144"/>
    </row>
    <row r="24" spans="1:40" ht="11.25" customHeight="1" x14ac:dyDescent="0.2">
      <c r="A24" s="195"/>
      <c r="B24" s="169" t="s">
        <v>116</v>
      </c>
      <c r="C24" s="89" t="str">
        <f>IF(Contribute="abcd",IF($E$2&lt;&gt;-1,_xll.RtContribute(SourceAlias,J24,Fields,K24:L24,"SCOPE:SERVER"),_xll.RtContribute(SourceAlias,"DDS_INSERT_S",$E$2:$G$2,J24:L24,"SCOPE:SERVER FTC:ALL")),"stopped")</f>
        <v>stopped</v>
      </c>
      <c r="D24" s="89" t="str">
        <f>IF(Contribute="abcd",IF($E$2&lt;&gt;-1,_xll.RtContribute(SourceAlias,M24,Fields,N24:O24,"SCOPE:SERVER"),_xll.RtContribute(SourceAlias,"DDS_INSERT_S",$E$2:$G$2,M24:O24,"SCOPE:SERVER FTC:ALL")),"stopped")</f>
        <v>stopped</v>
      </c>
      <c r="E24" s="89" t="str">
        <f>IF(Contribute="abcd",IF($E$2&lt;&gt;-1,_xll.RtContribute(SourceAlias,P24,Fields,Q24:R24,"SCOPE:SERVER"),_xll.RtContribute(SourceAlias,"DDS_INSERT_S",$E$2:$G$2,P24:R24,"SCOPE:SERVER FTC:ALL")),"stopped")</f>
        <v>stopped</v>
      </c>
      <c r="F24" s="89" t="str">
        <f>IF(Contribute="abcd",IF($E$2&lt;&gt;-1,_xll.RtContribute(SourceAlias,S24,Fields,T24:U24,"SCOPE:SERVER"),_xll.RtContribute(SourceAlias,"DDS_INSERT_S",$E$2:$G$2,T24:U24,"SCOPE:SERVER FTC:ALL")),"stopped")</f>
        <v>stopped</v>
      </c>
      <c r="G24" s="138" t="s">
        <v>46</v>
      </c>
      <c r="H24" s="138" t="s">
        <v>46</v>
      </c>
      <c r="I24" s="18" t="s">
        <v>46</v>
      </c>
      <c r="J24" s="118" t="str">
        <v>USD_CURVE_DEP1M_#20160316</v>
      </c>
      <c r="K24" s="119">
        <f>IF(J24="","",'1M Pricing'!I24*100)</f>
        <v>0.3328462649992579</v>
      </c>
      <c r="L24" s="119">
        <f t="shared" si="0"/>
        <v>0.3328462649992579</v>
      </c>
      <c r="M24" s="118" t="str">
        <v>USD_CURVE_DEP3M_#20160316</v>
      </c>
      <c r="N24" s="119">
        <f>IF(M24="","",'3M Pricing'!$I24*100)</f>
        <v>0.40603822626761321</v>
      </c>
      <c r="O24" s="119">
        <f t="shared" si="1"/>
        <v>0.40603822626761321</v>
      </c>
      <c r="P24" s="118" t="str">
        <v>USD_CURVE_DEP6M_#20160316</v>
      </c>
      <c r="Q24" s="119">
        <f>IF(P24="","",'6M Pricing'!$I24*100)</f>
        <v>0.54096998968530519</v>
      </c>
      <c r="R24" s="119">
        <f t="shared" si="2"/>
        <v>0.54096998968530519</v>
      </c>
      <c r="S24" s="118" t="str">
        <v>USD_CURVE_DEP12M_#20160316</v>
      </c>
      <c r="T24" s="119">
        <f>IF(S24="","",'1Y Pricing'!$I24*100)</f>
        <v>0.86337189583754526</v>
      </c>
      <c r="U24" s="119">
        <f t="shared" si="3"/>
        <v>0.86337189583754526</v>
      </c>
      <c r="V24" s="121" t="str">
        <v/>
      </c>
      <c r="W24" s="119" t="str">
        <f>IF(V24="","",'ON Pricing'!$G24*100)</f>
        <v/>
      </c>
      <c r="X24" s="119" t="str">
        <f t="shared" si="4"/>
        <v/>
      </c>
      <c r="Y24" s="121"/>
      <c r="Z24" s="119" t="str">
        <f>IF(Y24="","",'STD Pricing'!$G24*100)</f>
        <v/>
      </c>
      <c r="AA24" s="119" t="str">
        <f t="shared" si="5"/>
        <v/>
      </c>
      <c r="AB24" s="23" t="s">
        <v>46</v>
      </c>
      <c r="AC24" s="144">
        <f>IF($C24=" ","",ROUND(ABS(_xll.RtGet(SourceAlias,$J24,BID)-K24),4))</f>
        <v>8.6E-3</v>
      </c>
      <c r="AD24" s="144">
        <f>IF($C24=" ","",ROUND(ABS(_xll.RtGet(SourceAlias,$J24,ASK)-L24),4))</f>
        <v>8.6E-3</v>
      </c>
      <c r="AE24" s="144">
        <f>IF($D24=" ","",ROUND(ABS(_xll.RtGet(SourceAlias,$M24,BID)-N24),4))</f>
        <v>0</v>
      </c>
      <c r="AF24" s="144">
        <f>IF($D24=" ","",ROUND(ABS(_xll.RtGet(SourceAlias,$M24,ASK)-O24),4))</f>
        <v>0</v>
      </c>
      <c r="AG24" s="144">
        <f>IF($E24=" ","",ROUND(ABS(_xll.RtGet(SourceAlias,$P24,BID)-Q24),4))</f>
        <v>0</v>
      </c>
      <c r="AH24" s="144">
        <f>IF($E24=" ","",ROUND(ABS(_xll.RtGet(SourceAlias,$P24,ASK)-R24),4))</f>
        <v>0</v>
      </c>
      <c r="AI24" s="144">
        <f>IF($F24=" ","",ROUND(ABS(_xll.RtGet(SourceAlias,$S24,BID)-T24),4))</f>
        <v>1E-4</v>
      </c>
      <c r="AJ24" s="144">
        <f>IF($F24=" ","",ROUND(ABS(_xll.RtGet(SourceAlias,$S24,ASK)-U24),4))</f>
        <v>1E-4</v>
      </c>
      <c r="AK24" s="144" t="str">
        <f>IF($G24=" ","",ROUND(ABS(_xll.RtGet(SourceAlias,$V24,BID)-W24),4))</f>
        <v/>
      </c>
      <c r="AL24" s="144" t="str">
        <f>IF($G24=" ","",ROUND(ABS(_xll.RtGet(SourceAlias,$V24,ASK)-X24),4))</f>
        <v/>
      </c>
      <c r="AM24" s="144"/>
      <c r="AN24" s="144"/>
    </row>
    <row r="25" spans="1:40" ht="11.25" customHeight="1" x14ac:dyDescent="0.2">
      <c r="A25" s="194" t="s">
        <v>121</v>
      </c>
      <c r="B25" s="49" t="str">
        <f t="array" ref="B25:B32">'1M Pricing'!D25:D32</f>
        <v>U5</v>
      </c>
      <c r="C25" s="86" t="str">
        <f>IF(Contribute="abcd",IF($E$2&lt;&gt;-1,_xll.RtContribute(SourceAlias,J25,Fields,K25:L25,"SCOPE:SERVER"),_xll.RtContribute(SourceAlias,"DDS_INSERT_S",$E$2:$G$2,J25:L25,"SCOPE:SERVER FTC:ALL")),"stopped")</f>
        <v>stopped</v>
      </c>
      <c r="D25" s="86" t="str">
        <f>IF(Contribute="abcd",IF($E$2&lt;&gt;-1,_xll.RtContribute(SourceAlias,M25,Fields,N25:O25,"SCOPE:SERVER"),_xll.RtContribute(SourceAlias,"DDS_INSERT_S",$E$2:$G$2,M25:O25,"SCOPE:SERVER FTC:ALL")),"stopped")</f>
        <v>stopped</v>
      </c>
      <c r="E25" s="86" t="str">
        <f>IF(Contribute="abcd",IF($E$2&lt;&gt;-1,_xll.RtContribute(SourceAlias,P25,Fields,Q25:R25,"SCOPE:SERVER"),_xll.RtContribute(SourceAlias,"DDS_INSERT_S",$E$2:$G$2,P25:R25,"SCOPE:SERVER FTC:ALL")),"stopped")</f>
        <v>stopped</v>
      </c>
      <c r="F25" s="86" t="str">
        <f>IF(Contribute="abcd",IF($E$2&lt;&gt;-1,_xll.RtContribute(SourceAlias,S25,Fields,T25:U25,"SCOPE:SERVER"),_xll.RtContribute(SourceAlias,"DDS_INSERT_S",$E$2:$G$2,T25:U25,"SCOPE:SERVER FTC:ALL")),"stopped")</f>
        <v>stopped</v>
      </c>
      <c r="G25" s="136" t="s">
        <v>46</v>
      </c>
      <c r="H25" s="136" t="s">
        <v>46</v>
      </c>
      <c r="I25" s="18" t="s">
        <v>46</v>
      </c>
      <c r="J25" s="115" t="str">
        <v>USD_CURVE_FUT1M_U5</v>
      </c>
      <c r="K25" s="116">
        <f>IF(J25="","",'1M Pricing'!$I25)</f>
        <v>99.722067821266052</v>
      </c>
      <c r="L25" s="116">
        <f t="shared" si="0"/>
        <v>99.722067821266052</v>
      </c>
      <c r="M25" s="117" t="str">
        <v>USD_CURVE_FUT3M_U5</v>
      </c>
      <c r="N25" s="116">
        <f>IF(M25="","",'3M Pricing'!$I25)</f>
        <v>99.656295539604301</v>
      </c>
      <c r="O25" s="116">
        <f t="shared" si="1"/>
        <v>99.656295539604301</v>
      </c>
      <c r="P25" s="117" t="str">
        <v>USD_CURVE_FUT6M_U5</v>
      </c>
      <c r="Q25" s="116">
        <f>IF(P25="","",'6M Pricing'!$I25)</f>
        <v>99.491230408088768</v>
      </c>
      <c r="R25" s="116">
        <f t="shared" si="2"/>
        <v>99.491230408088768</v>
      </c>
      <c r="S25" s="117" t="str">
        <v>USD_CURVE_FUT12M_U5</v>
      </c>
      <c r="T25" s="116">
        <f>IF(S25="","",'1Y Pricing'!$I25)</f>
        <v>99.132068143759241</v>
      </c>
      <c r="U25" s="116">
        <f t="shared" si="3"/>
        <v>99.132068143759241</v>
      </c>
      <c r="V25" s="115" t="str">
        <v/>
      </c>
      <c r="W25" s="116" t="str">
        <f>IF(V25="","",'ON Pricing'!#REF!*100)</f>
        <v/>
      </c>
      <c r="X25" s="116" t="str">
        <f t="shared" si="4"/>
        <v/>
      </c>
      <c r="Y25" s="115"/>
      <c r="Z25" s="116" t="str">
        <f>IF(Y25="","",'STD Pricing'!$G25*100)</f>
        <v/>
      </c>
      <c r="AA25" s="116" t="str">
        <f t="shared" si="5"/>
        <v/>
      </c>
      <c r="AB25" s="23" t="s">
        <v>46</v>
      </c>
      <c r="AC25" s="142">
        <f>IF($C25=" ","",ROUND(ABS(_xll.RtGet(SourceAlias,$J25,BID)-K25),4))</f>
        <v>1.14E-2</v>
      </c>
      <c r="AD25" s="142">
        <f>IF($C25=" ","",ROUND(ABS(_xll.RtGet(SourceAlias,$J25,ASK)-L25),4))</f>
        <v>1.14E-2</v>
      </c>
      <c r="AE25" s="142">
        <f>IF($D25=" ","",ROUND(ABS(_xll.RtGet(SourceAlias,$M25,BID)-N25),4))</f>
        <v>0</v>
      </c>
      <c r="AF25" s="142">
        <f>IF($D25=" ","",ROUND(ABS(_xll.RtGet(SourceAlias,$M25,ASK)-O25),4))</f>
        <v>0</v>
      </c>
      <c r="AG25" s="142">
        <f>IF($E25=" ","",ROUND(ABS(_xll.RtGet(SourceAlias,$P25,BID)-Q25),4))</f>
        <v>0</v>
      </c>
      <c r="AH25" s="142">
        <f>IF($E25=" ","",ROUND(ABS(_xll.RtGet(SourceAlias,$P25,ASK)-R25),4))</f>
        <v>0</v>
      </c>
      <c r="AI25" s="142">
        <f>IF($F25=" ","",ROUND(ABS(_xll.RtGet(SourceAlias,$S25,BID)-T25),4))</f>
        <v>2.0000000000000001E-4</v>
      </c>
      <c r="AJ25" s="142">
        <f>IF($F25=" ","",ROUND(ABS(_xll.RtGet(SourceAlias,$S25,ASK)-U25),4))</f>
        <v>2.0000000000000001E-4</v>
      </c>
      <c r="AK25" s="142" t="str">
        <f>IF($G25=" ","",ROUND(ABS(_xll.RtGet(SourceAlias,$V25,BID)-W25),4))</f>
        <v/>
      </c>
      <c r="AL25" s="142" t="str">
        <f>IF($G25=" ","",ROUND(ABS(_xll.RtGet(SourceAlias,$V25,ASK)-X25),4))</f>
        <v/>
      </c>
      <c r="AM25" s="142"/>
      <c r="AN25" s="142"/>
    </row>
    <row r="26" spans="1:40" x14ac:dyDescent="0.2">
      <c r="A26" s="195"/>
      <c r="B26" s="49" t="str">
        <v>Z5</v>
      </c>
      <c r="C26" s="86" t="str">
        <f>IF(Contribute="abcd",IF($E$2&lt;&gt;-1,_xll.RtContribute(SourceAlias,J26,Fields,K26:L26,"SCOPE:SERVER"),_xll.RtContribute(SourceAlias,"DDS_INSERT_S",$E$2:$G$2,J26:L26,"SCOPE:SERVER FTC:ALL")),"stopped")</f>
        <v>stopped</v>
      </c>
      <c r="D26" s="86" t="str">
        <f>IF(Contribute="abcd",IF($E$2&lt;&gt;-1,_xll.RtContribute(SourceAlias,M26,Fields,N26:O26,"SCOPE:SERVER"),_xll.RtContribute(SourceAlias,"DDS_INSERT_S",$E$2:$G$2,M26:O26,"SCOPE:SERVER FTC:ALL")),"stopped")</f>
        <v>stopped</v>
      </c>
      <c r="E26" s="86" t="str">
        <f>IF(Contribute="abcd",IF($E$2&lt;&gt;-1,_xll.RtContribute(SourceAlias,P26,Fields,Q26:R26,"SCOPE:SERVER"),_xll.RtContribute(SourceAlias,"DDS_INSERT_S",$E$2:$G$2,P26:R26,"SCOPE:SERVER FTC:ALL")),"stopped")</f>
        <v>stopped</v>
      </c>
      <c r="F26" s="86" t="str">
        <f>IF(Contribute="abcd",IF($E$2&lt;&gt;-1,_xll.RtContribute(SourceAlias,S26,Fields,T26:U26,"SCOPE:SERVER"),_xll.RtContribute(SourceAlias,"DDS_INSERT_S",$E$2:$G$2,T26:U26,"SCOPE:SERVER FTC:ALL")),"stopped")</f>
        <v>stopped</v>
      </c>
      <c r="G26" s="136" t="s">
        <v>46</v>
      </c>
      <c r="H26" s="136" t="s">
        <v>46</v>
      </c>
      <c r="I26" s="18" t="s">
        <v>46</v>
      </c>
      <c r="J26" s="115" t="str">
        <v>USD_CURVE_FUT1M_Z5</v>
      </c>
      <c r="K26" s="116">
        <f>IF(J26="","",'1M Pricing'!$I26)</f>
        <v>99.607062370086211</v>
      </c>
      <c r="L26" s="116">
        <f t="shared" si="0"/>
        <v>99.607062370086211</v>
      </c>
      <c r="M26" s="117" t="str">
        <v>USD_CURVE_FUT3M_Z5</v>
      </c>
      <c r="N26" s="116">
        <f>IF(M26="","",'3M Pricing'!$I26)</f>
        <v>99.523328428454022</v>
      </c>
      <c r="O26" s="116">
        <f t="shared" si="1"/>
        <v>99.523328428454022</v>
      </c>
      <c r="P26" s="117" t="str">
        <v>USD_CURVE_FUT6M_Z5</v>
      </c>
      <c r="Q26" s="116">
        <f>IF(P26="","",'6M Pricing'!$I26)</f>
        <v>99.426339215906296</v>
      </c>
      <c r="R26" s="116">
        <f t="shared" si="2"/>
        <v>99.426339215906296</v>
      </c>
      <c r="S26" s="117" t="str">
        <v>USD_CURVE_FUT12M_Z5</v>
      </c>
      <c r="T26" s="116">
        <f>IF(S26="","",'1Y Pricing'!$I26)</f>
        <v>99.144323843902342</v>
      </c>
      <c r="U26" s="116">
        <f t="shared" si="3"/>
        <v>99.144323843902342</v>
      </c>
      <c r="V26" s="115" t="str">
        <v/>
      </c>
      <c r="W26" s="116" t="str">
        <f>IF(V26="","",'ON Pricing'!#REF!*100)</f>
        <v/>
      </c>
      <c r="X26" s="116" t="str">
        <f t="shared" si="4"/>
        <v/>
      </c>
      <c r="Y26" s="115"/>
      <c r="Z26" s="116" t="str">
        <f>IF(Y26="","",'STD Pricing'!$G26*100)</f>
        <v/>
      </c>
      <c r="AA26" s="116" t="str">
        <f t="shared" si="5"/>
        <v/>
      </c>
      <c r="AB26" s="23" t="s">
        <v>46</v>
      </c>
      <c r="AC26" s="142">
        <f>IF($C26=" ","",ROUND(ABS(_xll.RtGet(SourceAlias,$J26,BID)-K26),4))</f>
        <v>2.0000000000000001E-4</v>
      </c>
      <c r="AD26" s="142">
        <f>IF($C26=" ","",ROUND(ABS(_xll.RtGet(SourceAlias,$J26,ASK)-L26),4))</f>
        <v>2.0000000000000001E-4</v>
      </c>
      <c r="AE26" s="142">
        <f>IF($D26=" ","",ROUND(ABS(_xll.RtGet(SourceAlias,$M26,BID)-N26),4))</f>
        <v>0</v>
      </c>
      <c r="AF26" s="142">
        <f>IF($D26=" ","",ROUND(ABS(_xll.RtGet(SourceAlias,$M26,ASK)-O26),4))</f>
        <v>0</v>
      </c>
      <c r="AG26" s="142">
        <f>IF($E26=" ","",ROUND(ABS(_xll.RtGet(SourceAlias,$P26,BID)-Q26),4))</f>
        <v>0</v>
      </c>
      <c r="AH26" s="142">
        <f>IF($E26=" ","",ROUND(ABS(_xll.RtGet(SourceAlias,$P26,ASK)-R26),4))</f>
        <v>0</v>
      </c>
      <c r="AI26" s="142">
        <f>IF($F26=" ","",ROUND(ABS(_xll.RtGet(SourceAlias,$S26,BID)-T26),4))</f>
        <v>0</v>
      </c>
      <c r="AJ26" s="142">
        <f>IF($F26=" ","",ROUND(ABS(_xll.RtGet(SourceAlias,$S26,ASK)-U26),4))</f>
        <v>0</v>
      </c>
      <c r="AK26" s="142" t="str">
        <f>IF($G26=" ","",ROUND(ABS(_xll.RtGet(SourceAlias,$V26,BID)-W26),4))</f>
        <v/>
      </c>
      <c r="AL26" s="142" t="str">
        <f>IF($G26=" ","",ROUND(ABS(_xll.RtGet(SourceAlias,$V26,ASK)-X26),4))</f>
        <v/>
      </c>
      <c r="AM26" s="142"/>
      <c r="AN26" s="142"/>
    </row>
    <row r="27" spans="1:40" x14ac:dyDescent="0.2">
      <c r="A27" s="195"/>
      <c r="B27" s="49" t="str">
        <v>H6</v>
      </c>
      <c r="C27" s="86" t="str">
        <f>IF(Contribute="abcd",IF($E$2&lt;&gt;-1,_xll.RtContribute(SourceAlias,J27,Fields,K27:L27,"SCOPE:SERVER"),_xll.RtContribute(SourceAlias,"DDS_INSERT_S",$E$2:$G$2,J27:L27,"SCOPE:SERVER FTC:ALL")),"stopped")</f>
        <v>stopped</v>
      </c>
      <c r="D27" s="86" t="str">
        <f>IF(Contribute="abcd",IF($E$2&lt;&gt;-1,_xll.RtContribute(SourceAlias,M27,Fields,N27:O27,"SCOPE:SERVER"),_xll.RtContribute(SourceAlias,"DDS_INSERT_S",$E$2:$G$2,M27:O27,"SCOPE:SERVER FTC:ALL")),"stopped")</f>
        <v>stopped</v>
      </c>
      <c r="E27" s="86" t="str">
        <f>IF(Contribute="abcd",IF($E$2&lt;&gt;-1,_xll.RtContribute(SourceAlias,P27,Fields,Q27:R27,"SCOPE:SERVER"),_xll.RtContribute(SourceAlias,"DDS_INSERT_S",$E$2:$G$2,P27:R27,"SCOPE:SERVER FTC:ALL")),"stopped")</f>
        <v>stopped</v>
      </c>
      <c r="F27" s="86" t="str">
        <f>IF(Contribute="abcd",IF($E$2&lt;&gt;-1,_xll.RtContribute(SourceAlias,S27,Fields,T27:U27,"SCOPE:SERVER"),_xll.RtContribute(SourceAlias,"DDS_INSERT_S",$E$2:$G$2,T27:U27,"SCOPE:SERVER FTC:ALL")),"stopped")</f>
        <v>stopped</v>
      </c>
      <c r="G27" s="136" t="s">
        <v>46</v>
      </c>
      <c r="H27" s="136" t="s">
        <v>46</v>
      </c>
      <c r="I27" s="18" t="s">
        <v>46</v>
      </c>
      <c r="J27" s="115" t="str">
        <v>USD_CURVE_FUT1M_H6</v>
      </c>
      <c r="K27" s="116">
        <f>IF(J27="","",'1M Pricing'!$I27)</f>
        <v>99.487826134659358</v>
      </c>
      <c r="L27" s="116">
        <f t="shared" si="0"/>
        <v>99.487826134659358</v>
      </c>
      <c r="M27" s="117" t="str">
        <v>USD_CURVE_FUT3M_H6</v>
      </c>
      <c r="N27" s="116">
        <f>IF(M27="","",'3M Pricing'!$I27)</f>
        <v>99.394602002635835</v>
      </c>
      <c r="O27" s="116">
        <f t="shared" si="1"/>
        <v>99.394602002635835</v>
      </c>
      <c r="P27" s="117" t="str">
        <v>USD_CURVE_FUT6M_H6</v>
      </c>
      <c r="Q27" s="116">
        <f>IF(P27="","",'6M Pricing'!$I27)</f>
        <v>99.272794380601951</v>
      </c>
      <c r="R27" s="116">
        <f t="shared" si="2"/>
        <v>99.272794380601951</v>
      </c>
      <c r="S27" s="117" t="str">
        <v>USD_CURVE_FUT12M_H6</v>
      </c>
      <c r="T27" s="116">
        <f>IF(S27="","",'1Y Pricing'!$I27)</f>
        <v>99.15613062399818</v>
      </c>
      <c r="U27" s="116">
        <f t="shared" si="3"/>
        <v>99.15613062399818</v>
      </c>
      <c r="V27" s="115" t="str">
        <v/>
      </c>
      <c r="W27" s="116" t="str">
        <f>IF(V27="","",'ON Pricing'!#REF!*100)</f>
        <v/>
      </c>
      <c r="X27" s="116" t="str">
        <f t="shared" si="4"/>
        <v/>
      </c>
      <c r="Y27" s="115"/>
      <c r="Z27" s="116" t="str">
        <f>IF(Y27="","",'STD Pricing'!$G27*100)</f>
        <v/>
      </c>
      <c r="AA27" s="116" t="str">
        <f t="shared" si="5"/>
        <v/>
      </c>
      <c r="AB27" s="23" t="s">
        <v>46</v>
      </c>
      <c r="AC27" s="142">
        <f>IF($C27=" ","",ROUND(ABS(_xll.RtGet(SourceAlias,$J27,BID)-K27),4))</f>
        <v>1E-4</v>
      </c>
      <c r="AD27" s="142">
        <f>IF($C27=" ","",ROUND(ABS(_xll.RtGet(SourceAlias,$J27,ASK)-L27),4))</f>
        <v>1E-4</v>
      </c>
      <c r="AE27" s="142">
        <f>IF($D27=" ","",ROUND(ABS(_xll.RtGet(SourceAlias,$M27,BID)-N27),4))</f>
        <v>0</v>
      </c>
      <c r="AF27" s="142">
        <f>IF($D27=" ","",ROUND(ABS(_xll.RtGet(SourceAlias,$M27,ASK)-O27),4))</f>
        <v>0</v>
      </c>
      <c r="AG27" s="142">
        <f>IF($E27=" ","",ROUND(ABS(_xll.RtGet(SourceAlias,$P27,BID)-Q27),4))</f>
        <v>0</v>
      </c>
      <c r="AH27" s="142">
        <f>IF($E27=" ","",ROUND(ABS(_xll.RtGet(SourceAlias,$P27,ASK)-R27),4))</f>
        <v>0</v>
      </c>
      <c r="AI27" s="142">
        <f>IF($F27=" ","",ROUND(ABS(_xll.RtGet(SourceAlias,$S27,BID)-T27),4))</f>
        <v>0</v>
      </c>
      <c r="AJ27" s="142">
        <f>IF($F27=" ","",ROUND(ABS(_xll.RtGet(SourceAlias,$S27,ASK)-U27),4))</f>
        <v>0</v>
      </c>
      <c r="AK27" s="142" t="str">
        <f>IF($G27=" ","",ROUND(ABS(_xll.RtGet(SourceAlias,$V27,BID)-W27),4))</f>
        <v/>
      </c>
      <c r="AL27" s="142" t="str">
        <f>IF($G27=" ","",ROUND(ABS(_xll.RtGet(SourceAlias,$V27,ASK)-X27),4))</f>
        <v/>
      </c>
      <c r="AM27" s="142"/>
      <c r="AN27" s="142"/>
    </row>
    <row r="28" spans="1:40" x14ac:dyDescent="0.2">
      <c r="A28" s="195"/>
      <c r="B28" s="49" t="str">
        <v>M6</v>
      </c>
      <c r="C28" s="86" t="str">
        <f>IF(Contribute="abcd",IF($E$2&lt;&gt;-1,_xll.RtContribute(SourceAlias,J28,Fields,K28:L28,"SCOPE:SERVER"),_xll.RtContribute(SourceAlias,"DDS_INSERT_S",$E$2:$G$2,J28:L28,"SCOPE:SERVER FTC:ALL")),"stopped")</f>
        <v>stopped</v>
      </c>
      <c r="D28" s="86" t="str">
        <f>IF(Contribute="abcd",IF($E$2&lt;&gt;-1,_xll.RtContribute(SourceAlias,M28,Fields,N28:O28,"SCOPE:SERVER"),_xll.RtContribute(SourceAlias,"DDS_INSERT_S",$E$2:$G$2,M28:O28,"SCOPE:SERVER FTC:ALL")),"stopped")</f>
        <v>stopped</v>
      </c>
      <c r="E28" s="86" t="str">
        <f>IF(Contribute="abcd",IF($E$2&lt;&gt;-1,_xll.RtContribute(SourceAlias,P28,Fields,Q28:R28,"SCOPE:SERVER"),_xll.RtContribute(SourceAlias,"DDS_INSERT_S",$E$2:$G$2,P28:R28,"SCOPE:SERVER FTC:ALL")),"stopped")</f>
        <v>stopped</v>
      </c>
      <c r="F28" s="86" t="str">
        <f>IF(Contribute="abcd",IF($E$2&lt;&gt;-1,_xll.RtContribute(SourceAlias,S28,Fields,T28:U28,"SCOPE:SERVER"),_xll.RtContribute(SourceAlias,"DDS_INSERT_S",$E$2:$G$2,T28:U28,"SCOPE:SERVER FTC:ALL")),"stopped")</f>
        <v>stopped</v>
      </c>
      <c r="G28" s="136" t="s">
        <v>46</v>
      </c>
      <c r="H28" s="136" t="s">
        <v>46</v>
      </c>
      <c r="I28" s="18" t="s">
        <v>46</v>
      </c>
      <c r="J28" s="115" t="str">
        <v>USD_CURVE_FUT1M_M6</v>
      </c>
      <c r="K28" s="116">
        <f>IF(J28="","",'1M Pricing'!$I28)</f>
        <v>99.346593316291134</v>
      </c>
      <c r="L28" s="116">
        <f t="shared" si="0"/>
        <v>99.346593316291134</v>
      </c>
      <c r="M28" s="117" t="str">
        <v>USD_CURVE_FUT3M_M6</v>
      </c>
      <c r="N28" s="116">
        <f>IF(M28="","",'3M Pricing'!$I28)</f>
        <v>99.246338958943994</v>
      </c>
      <c r="O28" s="116">
        <f t="shared" si="1"/>
        <v>99.246338958943994</v>
      </c>
      <c r="P28" s="117" t="str">
        <v>USD_CURVE_FUT6M_M6</v>
      </c>
      <c r="Q28" s="116">
        <f>IF(P28="","",'6M Pricing'!$I28)</f>
        <v>99.174806437843941</v>
      </c>
      <c r="R28" s="116">
        <f t="shared" si="2"/>
        <v>99.174806437843941</v>
      </c>
      <c r="S28" s="117" t="str">
        <v>USD_CURVE_FUT12M_M6</v>
      </c>
      <c r="T28" s="116">
        <f>IF(S28="","",'1Y Pricing'!$I28)</f>
        <v>99.15359475661819</v>
      </c>
      <c r="U28" s="116">
        <f t="shared" si="3"/>
        <v>99.15359475661819</v>
      </c>
      <c r="V28" s="115" t="str">
        <v/>
      </c>
      <c r="W28" s="116" t="str">
        <f>IF(V28="","",'ON Pricing'!#REF!*100)</f>
        <v/>
      </c>
      <c r="X28" s="116" t="str">
        <f t="shared" si="4"/>
        <v/>
      </c>
      <c r="Y28" s="115"/>
      <c r="Z28" s="116" t="str">
        <f>IF(Y28="","",'STD Pricing'!$G28*100)</f>
        <v/>
      </c>
      <c r="AA28" s="116" t="str">
        <f t="shared" si="5"/>
        <v/>
      </c>
      <c r="AB28" s="23" t="s">
        <v>46</v>
      </c>
      <c r="AC28" s="142">
        <f>IF($C28=" ","",ROUND(ABS(_xll.RtGet(SourceAlias,$J28,BID)-K28),4))</f>
        <v>0</v>
      </c>
      <c r="AD28" s="142">
        <f>IF($C28=" ","",ROUND(ABS(_xll.RtGet(SourceAlias,$J28,ASK)-L28),4))</f>
        <v>0</v>
      </c>
      <c r="AE28" s="142">
        <f>IF($D28=" ","",ROUND(ABS(_xll.RtGet(SourceAlias,$M28,BID)-N28),4))</f>
        <v>0</v>
      </c>
      <c r="AF28" s="142">
        <f>IF($D28=" ","",ROUND(ABS(_xll.RtGet(SourceAlias,$M28,ASK)-O28),4))</f>
        <v>0</v>
      </c>
      <c r="AG28" s="142">
        <f>IF($E28=" ","",ROUND(ABS(_xll.RtGet(SourceAlias,$P28,BID)-Q28),4))</f>
        <v>2.9999999999999997E-4</v>
      </c>
      <c r="AH28" s="142">
        <f>IF($E28=" ","",ROUND(ABS(_xll.RtGet(SourceAlias,$P28,ASK)-R28),4))</f>
        <v>2.9999999999999997E-4</v>
      </c>
      <c r="AI28" s="142">
        <f>IF($F28=" ","",ROUND(ABS(_xll.RtGet(SourceAlias,$S28,BID)-T28),4))</f>
        <v>4.0000000000000002E-4</v>
      </c>
      <c r="AJ28" s="142">
        <f>IF($F28=" ","",ROUND(ABS(_xll.RtGet(SourceAlias,$S28,ASK)-U28),4))</f>
        <v>4.0000000000000002E-4</v>
      </c>
      <c r="AK28" s="142" t="str">
        <f>IF($G28=" ","",ROUND(ABS(_xll.RtGet(SourceAlias,$V28,BID)-W28),4))</f>
        <v/>
      </c>
      <c r="AL28" s="142" t="str">
        <f>IF($G28=" ","",ROUND(ABS(_xll.RtGet(SourceAlias,$V28,ASK)-X28),4))</f>
        <v/>
      </c>
      <c r="AM28" s="142"/>
      <c r="AN28" s="142"/>
    </row>
    <row r="29" spans="1:40" x14ac:dyDescent="0.2">
      <c r="A29" s="195"/>
      <c r="B29" s="49" t="str">
        <v>U6</v>
      </c>
      <c r="C29" s="86" t="str">
        <f>IF(Contribute="abcd",IF($E$2&lt;&gt;-1,_xll.RtContribute(SourceAlias,J29,Fields,K29:L29,"SCOPE:SERVER"),_xll.RtContribute(SourceAlias,"DDS_INSERT_S",$E$2:$G$2,J29:L29,"SCOPE:SERVER FTC:ALL")),"stopped")</f>
        <v>stopped</v>
      </c>
      <c r="D29" s="86" t="str">
        <f>IF(Contribute="abcd",IF($E$2&lt;&gt;-1,_xll.RtContribute(SourceAlias,M29,Fields,N29:O29,"SCOPE:SERVER"),_xll.RtContribute(SourceAlias,"DDS_INSERT_S",$E$2:$G$2,M29:O29,"SCOPE:SERVER FTC:ALL")),"stopped")</f>
        <v>stopped</v>
      </c>
      <c r="E29" s="86" t="str">
        <f>IF(Contribute="abcd",IF($E$2&lt;&gt;-1,_xll.RtContribute(SourceAlias,P29,Fields,Q29:R29,"SCOPE:SERVER"),_xll.RtContribute(SourceAlias,"DDS_INSERT_S",$E$2:$G$2,P29:R29,"SCOPE:SERVER FTC:ALL")),"stopped")</f>
        <v>stopped</v>
      </c>
      <c r="F29" s="86" t="str">
        <f>IF(Contribute="abcd",IF($E$2&lt;&gt;-1,_xll.RtContribute(SourceAlias,S29,Fields,T29:U29,"SCOPE:SERVER"),_xll.RtContribute(SourceAlias,"DDS_INSERT_S",$E$2:$G$2,T29:U29,"SCOPE:SERVER FTC:ALL")),"stopped")</f>
        <v>stopped</v>
      </c>
      <c r="G29" s="136" t="s">
        <v>46</v>
      </c>
      <c r="H29" s="136" t="s">
        <v>46</v>
      </c>
      <c r="I29" s="18" t="s">
        <v>46</v>
      </c>
      <c r="J29" s="115" t="str">
        <v>USD_CURVE_FUT1M_U6</v>
      </c>
      <c r="K29" s="116">
        <f>IF(J29="","",'1M Pricing'!$I29)</f>
        <v>99.169201595070277</v>
      </c>
      <c r="L29" s="116">
        <f t="shared" si="0"/>
        <v>99.169201595070277</v>
      </c>
      <c r="M29" s="117" t="str">
        <v>USD_CURVE_FUT3M_U6</v>
      </c>
      <c r="N29" s="116">
        <f>IF(M29="","",'3M Pricing'!$I29)</f>
        <v>99.068700959016581</v>
      </c>
      <c r="O29" s="116">
        <f t="shared" si="1"/>
        <v>99.068700959016581</v>
      </c>
      <c r="P29" s="117" t="str">
        <v>USD_CURVE_FUT6M_U6</v>
      </c>
      <c r="Q29" s="116">
        <f>IF(P29="","",'6M Pricing'!$I29)</f>
        <v>98.964705341642954</v>
      </c>
      <c r="R29" s="116">
        <f t="shared" si="2"/>
        <v>98.964705341642954</v>
      </c>
      <c r="S29" s="117" t="str">
        <v>USD_CURVE_FUT12M_U6</v>
      </c>
      <c r="T29" s="116">
        <f>IF(S29="","",'1Y Pricing'!$I29)</f>
        <v>99.08187215146782</v>
      </c>
      <c r="U29" s="116">
        <f t="shared" si="3"/>
        <v>99.08187215146782</v>
      </c>
      <c r="V29" s="115" t="str">
        <v/>
      </c>
      <c r="W29" s="116" t="str">
        <f>IF(V29="","",'ON Pricing'!#REF!*100)</f>
        <v/>
      </c>
      <c r="X29" s="116" t="str">
        <f t="shared" si="4"/>
        <v/>
      </c>
      <c r="Y29" s="115"/>
      <c r="Z29" s="116" t="str">
        <f>IF(Y29="","",'STD Pricing'!$G29*100)</f>
        <v/>
      </c>
      <c r="AA29" s="116" t="str">
        <f t="shared" si="5"/>
        <v/>
      </c>
      <c r="AC29" s="142">
        <f>IF($C29=" ","",ROUND(ABS(_xll.RtGet(SourceAlias,$J29,BID)-K29),4))</f>
        <v>2.9999999999999997E-4</v>
      </c>
      <c r="AD29" s="142">
        <f>IF($C29=" ","",ROUND(ABS(_xll.RtGet(SourceAlias,$J29,ASK)-L29),4))</f>
        <v>2.9999999999999997E-4</v>
      </c>
      <c r="AE29" s="142">
        <f>IF($D29=" ","",ROUND(ABS(_xll.RtGet(SourceAlias,$M29,BID)-N29),4))</f>
        <v>0</v>
      </c>
      <c r="AF29" s="142">
        <f>IF($D29=" ","",ROUND(ABS(_xll.RtGet(SourceAlias,$M29,ASK)-O29),4))</f>
        <v>0</v>
      </c>
      <c r="AG29" s="142">
        <f>IF($E29=" ","",ROUND(ABS(_xll.RtGet(SourceAlias,$P29,BID)-Q29),4))</f>
        <v>5.7999999999999996E-3</v>
      </c>
      <c r="AH29" s="142">
        <f>IF($E29=" ","",ROUND(ABS(_xll.RtGet(SourceAlias,$P29,ASK)-R29),4))</f>
        <v>5.7999999999999996E-3</v>
      </c>
      <c r="AI29" s="142">
        <f>IF($F29=" ","",ROUND(ABS(_xll.RtGet(SourceAlias,$S29,BID)-T29),4))</f>
        <v>2.8E-3</v>
      </c>
      <c r="AJ29" s="142">
        <f>IF($F29=" ","",ROUND(ABS(_xll.RtGet(SourceAlias,$S29,ASK)-U29),4))</f>
        <v>2.8E-3</v>
      </c>
      <c r="AK29" s="142" t="str">
        <f>IF($G29=" ","",ROUND(ABS(_xll.RtGet(SourceAlias,$V29,BID)-W29),4))</f>
        <v/>
      </c>
      <c r="AL29" s="142" t="str">
        <f>IF($G29=" ","",ROUND(ABS(_xll.RtGet(SourceAlias,$V29,ASK)-X29),4))</f>
        <v/>
      </c>
      <c r="AM29" s="142"/>
      <c r="AN29" s="142"/>
    </row>
    <row r="30" spans="1:40" x14ac:dyDescent="0.2">
      <c r="A30" s="195"/>
      <c r="B30" s="49" t="str">
        <v>Z6</v>
      </c>
      <c r="C30" s="86" t="str">
        <f>IF(Contribute="abcd",IF($E$2&lt;&gt;-1,_xll.RtContribute(SourceAlias,J30,Fields,K30:L30,"SCOPE:SERVER"),_xll.RtContribute(SourceAlias,"DDS_INSERT_S",$E$2:$G$2,J30:L30,"SCOPE:SERVER FTC:ALL")),"stopped")</f>
        <v>stopped</v>
      </c>
      <c r="D30" s="86" t="str">
        <f>IF(Contribute="abcd",IF($E$2&lt;&gt;-1,_xll.RtContribute(SourceAlias,M30,Fields,N30:O30,"SCOPE:SERVER"),_xll.RtContribute(SourceAlias,"DDS_INSERT_S",$E$2:$G$2,M30:O30,"SCOPE:SERVER FTC:ALL")),"stopped")</f>
        <v>stopped</v>
      </c>
      <c r="E30" s="86" t="str">
        <f>IF(Contribute="abcd",IF($E$2&lt;&gt;-1,_xll.RtContribute(SourceAlias,P30,Fields,Q30:R30,"SCOPE:SERVER"),_xll.RtContribute(SourceAlias,"DDS_INSERT_S",$E$2:$G$2,P30:R30,"SCOPE:SERVER FTC:ALL")),"stopped")</f>
        <v>stopped</v>
      </c>
      <c r="F30" s="86" t="str">
        <f>IF(Contribute="abcd",IF($E$2&lt;&gt;-1,_xll.RtContribute(SourceAlias,S30,Fields,T30:U30,"SCOPE:SERVER"),_xll.RtContribute(SourceAlias,"DDS_INSERT_S",$E$2:$G$2,T30:U30,"SCOPE:SERVER FTC:ALL")),"stopped")</f>
        <v>stopped</v>
      </c>
      <c r="G30" s="136" t="s">
        <v>46</v>
      </c>
      <c r="H30" s="136" t="s">
        <v>46</v>
      </c>
      <c r="I30" s="18" t="s">
        <v>46</v>
      </c>
      <c r="J30" s="115" t="str">
        <v>USD_CURVE_FUT1M_Z6</v>
      </c>
      <c r="K30" s="116">
        <f>IF(J30="","",'1M Pricing'!$I30)</f>
        <v>99.011183194811011</v>
      </c>
      <c r="L30" s="116">
        <f t="shared" si="0"/>
        <v>99.011183194811011</v>
      </c>
      <c r="M30" s="117" t="str">
        <v>USD_CURVE_FUT3M_Z6</v>
      </c>
      <c r="N30" s="116">
        <f>IF(M30="","",'3M Pricing'!$I30)</f>
        <v>98.891348733093039</v>
      </c>
      <c r="O30" s="116">
        <f t="shared" si="1"/>
        <v>98.891348733093039</v>
      </c>
      <c r="P30" s="117" t="str">
        <v>USD_CURVE_FUT6M_Z6</v>
      </c>
      <c r="Q30" s="116">
        <f>IF(P30="","",'6M Pricing'!$I30)</f>
        <v>98.847654003924561</v>
      </c>
      <c r="R30" s="116">
        <f t="shared" si="2"/>
        <v>98.847654003924561</v>
      </c>
      <c r="S30" s="117" t="str">
        <v>USD_CURVE_FUT12M_Z6</v>
      </c>
      <c r="T30" s="116">
        <f>IF(S30="","",'1Y Pricing'!$I30)</f>
        <v>98.494700972713019</v>
      </c>
      <c r="U30" s="116">
        <f t="shared" si="3"/>
        <v>98.494700972713019</v>
      </c>
      <c r="V30" s="115" t="str">
        <v/>
      </c>
      <c r="W30" s="116" t="str">
        <f>IF(V30="","",'ON Pricing'!#REF!*100)</f>
        <v/>
      </c>
      <c r="X30" s="116" t="str">
        <f t="shared" si="4"/>
        <v/>
      </c>
      <c r="Y30" s="115"/>
      <c r="Z30" s="116" t="str">
        <f>IF(Y30="","",'STD Pricing'!$G30*100)</f>
        <v/>
      </c>
      <c r="AA30" s="116" t="str">
        <f t="shared" si="5"/>
        <v/>
      </c>
      <c r="AC30" s="142">
        <f>IF($C30=" ","",ROUND(ABS(_xll.RtGet(SourceAlias,$J30,BID)-K30),4))</f>
        <v>2.9999999999999997E-4</v>
      </c>
      <c r="AD30" s="142">
        <f>IF($C30=" ","",ROUND(ABS(_xll.RtGet(SourceAlias,$J30,ASK)-L30),4))</f>
        <v>2.9999999999999997E-4</v>
      </c>
      <c r="AE30" s="142">
        <f>IF($D30=" ","",ROUND(ABS(_xll.RtGet(SourceAlias,$M30,BID)-N30),4))</f>
        <v>0</v>
      </c>
      <c r="AF30" s="142">
        <f>IF($D30=" ","",ROUND(ABS(_xll.RtGet(SourceAlias,$M30,ASK)-O30),4))</f>
        <v>0</v>
      </c>
      <c r="AG30" s="142">
        <f>IF($E30=" ","",ROUND(ABS(_xll.RtGet(SourceAlias,$P30,BID)-Q30),4))</f>
        <v>4.0000000000000002E-4</v>
      </c>
      <c r="AH30" s="142">
        <f>IF($E30=" ","",ROUND(ABS(_xll.RtGet(SourceAlias,$P30,ASK)-R30),4))</f>
        <v>4.0000000000000002E-4</v>
      </c>
      <c r="AI30" s="142">
        <f>IF($F30=" ","",ROUND(ABS(_xll.RtGet(SourceAlias,$S30,BID)-T30),4))</f>
        <v>1.1000000000000001E-3</v>
      </c>
      <c r="AJ30" s="142">
        <f>IF($F30=" ","",ROUND(ABS(_xll.RtGet(SourceAlias,$S30,ASK)-U30),4))</f>
        <v>1.1000000000000001E-3</v>
      </c>
      <c r="AK30" s="142" t="str">
        <f>IF($G30=" ","",ROUND(ABS(_xll.RtGet(SourceAlias,$V30,BID)-W30),4))</f>
        <v/>
      </c>
      <c r="AL30" s="142" t="str">
        <f>IF($G30=" ","",ROUND(ABS(_xll.RtGet(SourceAlias,$V30,ASK)-X30),4))</f>
        <v/>
      </c>
      <c r="AM30" s="142"/>
      <c r="AN30" s="142"/>
    </row>
    <row r="31" spans="1:40" x14ac:dyDescent="0.2">
      <c r="A31" s="195"/>
      <c r="B31" s="49" t="str">
        <v>H7</v>
      </c>
      <c r="C31" s="86" t="str">
        <f>IF(Contribute="abcd",IF($E$2&lt;&gt;-1,_xll.RtContribute(SourceAlias,J31,Fields,K31:L31,"SCOPE:SERVER"),_xll.RtContribute(SourceAlias,"DDS_INSERT_S",$E$2:$G$2,J31:L31,"SCOPE:SERVER FTC:ALL")),"stopped")</f>
        <v>stopped</v>
      </c>
      <c r="D31" s="86" t="str">
        <f>IF(Contribute="abcd",IF($E$2&lt;&gt;-1,_xll.RtContribute(SourceAlias,M31,Fields,N31:O31,"SCOPE:SERVER"),_xll.RtContribute(SourceAlias,"DDS_INSERT_S",$E$2:$G$2,M31:O31,"SCOPE:SERVER FTC:ALL")),"stopped")</f>
        <v>stopped</v>
      </c>
      <c r="E31" s="86" t="str">
        <f>IF(Contribute="abcd",IF($E$2&lt;&gt;-1,_xll.RtContribute(SourceAlias,P31,Fields,Q31:R31,"SCOPE:SERVER"),_xll.RtContribute(SourceAlias,"DDS_INSERT_S",$E$2:$G$2,P31:R31,"SCOPE:SERVER FTC:ALL")),"stopped")</f>
        <v>stopped</v>
      </c>
      <c r="F31" s="86" t="str">
        <f>IF(Contribute="abcd",IF($E$2&lt;&gt;-1,_xll.RtContribute(SourceAlias,S31,Fields,T31:U31,"SCOPE:SERVER"),_xll.RtContribute(SourceAlias,"DDS_INSERT_S",$E$2:$G$2,T31:U31,"SCOPE:SERVER FTC:ALL")),"stopped")</f>
        <v>stopped</v>
      </c>
      <c r="G31" s="136" t="s">
        <v>46</v>
      </c>
      <c r="H31" s="136" t="s">
        <v>46</v>
      </c>
      <c r="I31" s="18" t="s">
        <v>46</v>
      </c>
      <c r="J31" s="115" t="str">
        <v>USD_CURVE_FUT1M_H7</v>
      </c>
      <c r="K31" s="116">
        <f>IF(J31="","",'1M Pricing'!$I31)</f>
        <v>98.87432952772275</v>
      </c>
      <c r="L31" s="116">
        <f t="shared" si="0"/>
        <v>98.87432952772275</v>
      </c>
      <c r="M31" s="117" t="str">
        <v>USD_CURVE_FUT3M_H7</v>
      </c>
      <c r="N31" s="116">
        <f>IF(M31="","",'3M Pricing'!$I31)</f>
        <v>98.739265701678548</v>
      </c>
      <c r="O31" s="116">
        <f t="shared" si="1"/>
        <v>98.739265701678548</v>
      </c>
      <c r="P31" s="117" t="str">
        <v>USD_CURVE_FUT6M_H7</v>
      </c>
      <c r="Q31" s="116">
        <f>IF(P31="","",'6M Pricing'!$I31)</f>
        <v>98.633186194249546</v>
      </c>
      <c r="R31" s="116">
        <f t="shared" si="2"/>
        <v>98.633186194249546</v>
      </c>
      <c r="S31" s="117" t="str">
        <v>USD_CURVE_FUT12M_H7</v>
      </c>
      <c r="T31" s="116">
        <f>IF(S31="","",'1Y Pricing'!$I31)</f>
        <v>98.505519123863053</v>
      </c>
      <c r="U31" s="116">
        <f t="shared" si="3"/>
        <v>98.505519123863053</v>
      </c>
      <c r="V31" s="115" t="str">
        <v/>
      </c>
      <c r="W31" s="116" t="str">
        <f>IF(V31="","",'ON Pricing'!#REF!*100)</f>
        <v/>
      </c>
      <c r="X31" s="116" t="str">
        <f t="shared" si="4"/>
        <v/>
      </c>
      <c r="Y31" s="115"/>
      <c r="Z31" s="116" t="str">
        <f>IF(Y31="","",'STD Pricing'!$G31*100)</f>
        <v/>
      </c>
      <c r="AA31" s="116" t="str">
        <f t="shared" si="5"/>
        <v/>
      </c>
      <c r="AC31" s="142">
        <f>IF($C31=" ","",ROUND(ABS(_xll.RtGet(SourceAlias,$J31,BID)-K31),4))</f>
        <v>0</v>
      </c>
      <c r="AD31" s="142">
        <f>IF($C31=" ","",ROUND(ABS(_xll.RtGet(SourceAlias,$J31,ASK)-L31),4))</f>
        <v>0</v>
      </c>
      <c r="AE31" s="142">
        <f>IF($D31=" ","",ROUND(ABS(_xll.RtGet(SourceAlias,$M31,BID)-N31),4))</f>
        <v>0</v>
      </c>
      <c r="AF31" s="142">
        <f>IF($D31=" ","",ROUND(ABS(_xll.RtGet(SourceAlias,$M31,ASK)-O31),4))</f>
        <v>0</v>
      </c>
      <c r="AG31" s="142">
        <f>IF($E31=" ","",ROUND(ABS(_xll.RtGet(SourceAlias,$P31,BID)-Q31),4))</f>
        <v>8.0000000000000004E-4</v>
      </c>
      <c r="AH31" s="142">
        <f>IF($E31=" ","",ROUND(ABS(_xll.RtGet(SourceAlias,$P31,ASK)-R31),4))</f>
        <v>8.0000000000000004E-4</v>
      </c>
      <c r="AI31" s="142">
        <f>IF($F31=" ","",ROUND(ABS(_xll.RtGet(SourceAlias,$S31,BID)-T31),4))</f>
        <v>8.8000000000000005E-3</v>
      </c>
      <c r="AJ31" s="142">
        <f>IF($F31=" ","",ROUND(ABS(_xll.RtGet(SourceAlias,$S31,ASK)-U31),4))</f>
        <v>8.8000000000000005E-3</v>
      </c>
      <c r="AK31" s="142" t="str">
        <f>IF($G31=" ","",ROUND(ABS(_xll.RtGet(SourceAlias,$V31,BID)-W31),4))</f>
        <v/>
      </c>
      <c r="AL31" s="142" t="str">
        <f>IF($G31=" ","",ROUND(ABS(_xll.RtGet(SourceAlias,$V31,ASK)-X31),4))</f>
        <v/>
      </c>
      <c r="AM31" s="142"/>
      <c r="AN31" s="142"/>
    </row>
    <row r="32" spans="1:40" x14ac:dyDescent="0.2">
      <c r="A32" s="196"/>
      <c r="B32" s="49" t="str">
        <v>M7</v>
      </c>
      <c r="C32" s="86" t="str">
        <f>IF(Contribute="abcd",IF($E$2&lt;&gt;-1,_xll.RtContribute(SourceAlias,J32,Fields,K32:L32,"SCOPE:SERVER"),_xll.RtContribute(SourceAlias,"DDS_INSERT_S",$E$2:$G$2,J32:L32,"SCOPE:SERVER FTC:ALL")),"stopped")</f>
        <v>stopped</v>
      </c>
      <c r="D32" s="86" t="str">
        <f>IF(Contribute="abcd",IF($E$2&lt;&gt;-1,_xll.RtContribute(SourceAlias,M32,Fields,N32:O32,"SCOPE:SERVER"),_xll.RtContribute(SourceAlias,"DDS_INSERT_S",$E$2:$G$2,M32:O32,"SCOPE:SERVER FTC:ALL")),"stopped")</f>
        <v>stopped</v>
      </c>
      <c r="E32" s="86" t="str">
        <f>IF(Contribute="abcd",IF($E$2&lt;&gt;-1,_xll.RtContribute(SourceAlias,P32,Fields,Q32:R32,"SCOPE:SERVER"),_xll.RtContribute(SourceAlias,"DDS_INSERT_S",$E$2:$G$2,P32:R32,"SCOPE:SERVER FTC:ALL")),"stopped")</f>
        <v>stopped</v>
      </c>
      <c r="F32" s="86" t="str">
        <f>IF(Contribute="abcd",IF($E$2&lt;&gt;-1,_xll.RtContribute(SourceAlias,S32,Fields,T32:U32,"SCOPE:SERVER"),_xll.RtContribute(SourceAlias,"DDS_INSERT_S",$E$2:$G$2,T32:U32,"SCOPE:SERVER FTC:ALL")),"stopped")</f>
        <v>stopped</v>
      </c>
      <c r="G32" s="136" t="s">
        <v>46</v>
      </c>
      <c r="H32" s="136" t="s">
        <v>46</v>
      </c>
      <c r="I32" s="18" t="s">
        <v>46</v>
      </c>
      <c r="J32" s="115" t="str">
        <v>USD_CURVE_FUT1M_M7</v>
      </c>
      <c r="K32" s="116">
        <f>IF(J32="","",'1M Pricing'!$I32)</f>
        <v>98.730473162885772</v>
      </c>
      <c r="L32" s="116">
        <f t="shared" si="0"/>
        <v>98.730473162885772</v>
      </c>
      <c r="M32" s="117" t="str">
        <v>USD_CURVE_FUT3M_M7</v>
      </c>
      <c r="N32" s="116">
        <f>IF(M32="","",'3M Pricing'!$I32)</f>
        <v>98.593067009659251</v>
      </c>
      <c r="O32" s="116">
        <f t="shared" si="1"/>
        <v>98.593067009659251</v>
      </c>
      <c r="P32" s="117" t="str">
        <v>USD_CURVE_FUT6M_M7</v>
      </c>
      <c r="Q32" s="116">
        <f>IF(P32="","",'6M Pricing'!$I32)</f>
        <v>98.512484287405243</v>
      </c>
      <c r="R32" s="116">
        <f t="shared" si="2"/>
        <v>98.512484287405243</v>
      </c>
      <c r="S32" s="117" t="str">
        <v>USD_CURVE_FUT12M_M7</v>
      </c>
      <c r="T32" s="116">
        <f>IF(S32="","",'1Y Pricing'!$I32)</f>
        <v>98.237149810716218</v>
      </c>
      <c r="U32" s="116">
        <f t="shared" si="3"/>
        <v>98.237149810716218</v>
      </c>
      <c r="V32" s="115" t="str">
        <v/>
      </c>
      <c r="W32" s="116" t="str">
        <f>IF(V32="","",'ON Pricing'!#REF!*100)</f>
        <v/>
      </c>
      <c r="X32" s="116" t="str">
        <f t="shared" si="4"/>
        <v/>
      </c>
      <c r="Y32" s="115"/>
      <c r="Z32" s="116" t="str">
        <f>IF(Y32="","",'STD Pricing'!$G32*100)</f>
        <v/>
      </c>
      <c r="AA32" s="116" t="str">
        <f t="shared" si="5"/>
        <v/>
      </c>
      <c r="AC32" s="142">
        <f>IF($C32=" ","",ROUND(ABS(_xll.RtGet(SourceAlias,$J32,BID)-K32),4))</f>
        <v>6.9999999999999999E-4</v>
      </c>
      <c r="AD32" s="142">
        <f>IF($C32=" ","",ROUND(ABS(_xll.RtGet(SourceAlias,$J32,ASK)-L32),4))</f>
        <v>6.9999999999999999E-4</v>
      </c>
      <c r="AE32" s="142">
        <f>IF($D32=" ","",ROUND(ABS(_xll.RtGet(SourceAlias,$M32,BID)-N32),4))</f>
        <v>0</v>
      </c>
      <c r="AF32" s="142">
        <f>IF($D32=" ","",ROUND(ABS(_xll.RtGet(SourceAlias,$M32,ASK)-O32),4))</f>
        <v>0</v>
      </c>
      <c r="AG32" s="142">
        <f>IF($E32=" ","",ROUND(ABS(_xll.RtGet(SourceAlias,$P32,BID)-Q32),4))</f>
        <v>7.1000000000000004E-3</v>
      </c>
      <c r="AH32" s="142">
        <f>IF($E32=" ","",ROUND(ABS(_xll.RtGet(SourceAlias,$P32,ASK)-R32),4))</f>
        <v>7.1000000000000004E-3</v>
      </c>
      <c r="AI32" s="142">
        <f>IF($F32=" ","",ROUND(ABS(_xll.RtGet(SourceAlias,$S32,BID)-T32),4))</f>
        <v>1.37E-2</v>
      </c>
      <c r="AJ32" s="142">
        <f>IF($F32=" ","",ROUND(ABS(_xll.RtGet(SourceAlias,$S32,ASK)-U32),4))</f>
        <v>1.37E-2</v>
      </c>
      <c r="AK32" s="142" t="str">
        <f>IF($G32=" ","",ROUND(ABS(_xll.RtGet(SourceAlias,$V32,BID)-W32),4))</f>
        <v/>
      </c>
      <c r="AL32" s="142" t="str">
        <f>IF($G32=" ","",ROUND(ABS(_xll.RtGet(SourceAlias,$V32,ASK)-X32),4))</f>
        <v/>
      </c>
      <c r="AM32" s="142"/>
      <c r="AN32" s="142"/>
    </row>
    <row r="33" spans="1:40" x14ac:dyDescent="0.2">
      <c r="A33" s="192" t="s">
        <v>107</v>
      </c>
      <c r="B33" s="48" t="s">
        <v>22</v>
      </c>
      <c r="C33" s="83" t="str">
        <f>IF(Contribute="abcd",IF($E$2&lt;&gt;-1,_xll.RtContribute(SourceAlias,J33,Fields,K33:L33,"SCOPE:SERVER"),_xll.RtContribute(SourceAlias,"DDS_INSERT_S",$E$2:$G$2,J33:L33,"SCOPE:SERVER FTC:ALL")),"stopped")</f>
        <v>stopped</v>
      </c>
      <c r="D33" s="83" t="str">
        <f>IF(Contribute="abcd",IF($E$2&lt;&gt;-1,_xll.RtContribute(SourceAlias,M33,Fields,N33:O33,"SCOPE:SERVER"),_xll.RtContribute(SourceAlias,"DDS_INSERT_S",$E$2:$G$2,M33:O33,"SCOPE:SERVER FTC:ALL")),"stopped")</f>
        <v>stopped</v>
      </c>
      <c r="E33" s="83" t="str">
        <f>IF(Contribute="abcd",IF($E$2&lt;&gt;-1,_xll.RtContribute(SourceAlias,P33,Fields,Q33:R33,"SCOPE:SERVER"),_xll.RtContribute(SourceAlias,"DDS_INSERT_S",$E$2:$G$2,P33:R33,"SCOPE:SERVER FTC:ALL")),"stopped")</f>
        <v>stopped</v>
      </c>
      <c r="F33" s="83" t="str">
        <f>IF(Contribute="abcd",IF($E$2&lt;&gt;-1,_xll.RtContribute(SourceAlias,S33,Fields,T33:U33,"SCOPE:SERVER"),_xll.RtContribute(SourceAlias,"DDS_INSERT_S",$E$2:$G$2,T33:U33,"SCOPE:SERVER FTC:ALL")),"stopped")</f>
        <v>stopped</v>
      </c>
      <c r="G33" s="135" t="s">
        <v>46</v>
      </c>
      <c r="H33" s="135" t="str">
        <f t="array" ref="H33:H68">D33:D68</f>
        <v>stopped</v>
      </c>
      <c r="I33" s="3" t="s">
        <v>46</v>
      </c>
      <c r="J33" s="112" t="str">
        <v>USD_CURVE_1M_1Y</v>
      </c>
      <c r="K33" s="113">
        <f>IF(J33="","",'1M Pricing'!$I33*100)</f>
        <v>0.4501513556831257</v>
      </c>
      <c r="L33" s="113">
        <f t="shared" si="0"/>
        <v>0.4501513556831257</v>
      </c>
      <c r="M33" s="114" t="str">
        <v>USD_CURVE_3M_1Y</v>
      </c>
      <c r="N33" s="113">
        <f>IF(M33="","",'3M Pricing'!$I33*100)</f>
        <v>0.53880170896367297</v>
      </c>
      <c r="O33" s="113">
        <f t="shared" si="1"/>
        <v>0.53880170896367297</v>
      </c>
      <c r="P33" s="114" t="str">
        <v>USD_CURVE_6M_1Y</v>
      </c>
      <c r="Q33" s="113">
        <f>IF(P33="","",'6M Pricing'!$I33*100)</f>
        <v>0.65595748149738731</v>
      </c>
      <c r="R33" s="113">
        <f t="shared" si="2"/>
        <v>0.65595748149738731</v>
      </c>
      <c r="S33" s="114" t="str">
        <v>USD_CURVE_12M_1Y</v>
      </c>
      <c r="T33" s="113">
        <f>IF(S33="","",'1Y Pricing'!$I33*100)</f>
        <v>0.85679999999999978</v>
      </c>
      <c r="U33" s="113">
        <f t="shared" si="3"/>
        <v>0.85679999999999978</v>
      </c>
      <c r="V33" s="112" t="str">
        <v/>
      </c>
      <c r="W33" s="113" t="str">
        <f>IF(V33="","",'ON Pricing'!$G33*100)</f>
        <v/>
      </c>
      <c r="X33" s="113" t="str">
        <f t="shared" si="4"/>
        <v/>
      </c>
      <c r="Y33" s="112"/>
      <c r="Z33" s="113" t="str">
        <f>IF(Y33="","",'STD Pricing'!$G33*100)</f>
        <v/>
      </c>
      <c r="AA33" s="113" t="str">
        <f t="shared" si="5"/>
        <v/>
      </c>
      <c r="AC33" s="141">
        <f>IF($C33=" ","",ROUND(ABS(_xll.RtGet(SourceAlias,$J33,BID)-K33),4))</f>
        <v>2.0000000000000001E-4</v>
      </c>
      <c r="AD33" s="141">
        <f>IF($C33=" ","",ROUND(ABS(_xll.RtGet(SourceAlias,$J33,ASK)-L33),4))</f>
        <v>2.0000000000000001E-4</v>
      </c>
      <c r="AE33" s="141">
        <f>IF($D33=" ","",ROUND(ABS(_xll.RtGet(SourceAlias,$M33,BID)-N33),4))</f>
        <v>0</v>
      </c>
      <c r="AF33" s="141">
        <f>IF($D33=" ","",ROUND(ABS(_xll.RtGet(SourceAlias,$M33,ASK)-O33),4))</f>
        <v>0</v>
      </c>
      <c r="AG33" s="141">
        <f>IF($E33=" ","",ROUND(ABS(_xll.RtGet(SourceAlias,$P33,BID)-Q33),4))</f>
        <v>0</v>
      </c>
      <c r="AH33" s="141">
        <f>IF($E33=" ","",ROUND(ABS(_xll.RtGet(SourceAlias,$P33,ASK)-R33),4))</f>
        <v>0</v>
      </c>
      <c r="AI33" s="141">
        <f>IF($F33=" ","",ROUND(ABS(_xll.RtGet(SourceAlias,$S33,BID)-T33),4))</f>
        <v>0</v>
      </c>
      <c r="AJ33" s="141">
        <f>IF($F33=" ","",ROUND(ABS(_xll.RtGet(SourceAlias,$S33,ASK)-U33),4))</f>
        <v>0</v>
      </c>
      <c r="AK33" s="141" t="str">
        <f>IF($G33=" ","",ROUND(ABS(_xll.RtGet(SourceAlias,$V33,BID)-W33),4))</f>
        <v/>
      </c>
      <c r="AL33" s="141" t="str">
        <f>IF($G33=" ","",ROUND(ABS(_xll.RtGet(SourceAlias,$V33,ASK)-X33),4))</f>
        <v/>
      </c>
      <c r="AM33" s="141"/>
      <c r="AN33" s="141"/>
    </row>
    <row r="34" spans="1:40" x14ac:dyDescent="0.2">
      <c r="A34" s="192"/>
      <c r="B34" s="49" t="s">
        <v>111</v>
      </c>
      <c r="C34" s="86" t="s">
        <v>46</v>
      </c>
      <c r="D34" s="86" t="s">
        <v>46</v>
      </c>
      <c r="E34" s="86" t="s">
        <v>46</v>
      </c>
      <c r="F34" s="86" t="s">
        <v>46</v>
      </c>
      <c r="G34" s="86" t="str">
        <f>IF(Contribute="abcd",IF($E$2&lt;&gt;-1,_xll.RtContribute(SourceAlias,V34,Fields,W34:X34,"SCOPE:SERVER"),_xll.RtContribute(SourceAlias,"DDS_INSERT_S",$E$2:$G$2,V34:X34,"SCOPE:SERVER FTC:ALL")),"stopped")</f>
        <v>stopped</v>
      </c>
      <c r="H34" s="86" t="str">
        <v xml:space="preserve"> </v>
      </c>
      <c r="I34" s="3" t="s">
        <v>46</v>
      </c>
      <c r="J34" s="115" t="str">
        <v/>
      </c>
      <c r="K34" s="116" t="str">
        <f>IF(J34="","",'1M Pricing'!$I34*100)</f>
        <v/>
      </c>
      <c r="L34" s="116" t="str">
        <f t="shared" si="0"/>
        <v/>
      </c>
      <c r="M34" s="117" t="str">
        <v/>
      </c>
      <c r="N34" s="116" t="str">
        <f>IF(M34="","",'3M Pricing'!$I34*100)</f>
        <v/>
      </c>
      <c r="O34" s="116" t="str">
        <f t="shared" si="1"/>
        <v/>
      </c>
      <c r="P34" s="117" t="str">
        <v/>
      </c>
      <c r="Q34" s="116" t="str">
        <f>IF(P34="","",'6M Pricing'!$I34*100)</f>
        <v/>
      </c>
      <c r="R34" s="116" t="str">
        <f t="shared" si="2"/>
        <v/>
      </c>
      <c r="S34" s="117" t="str">
        <v/>
      </c>
      <c r="T34" s="116" t="str">
        <f>IF(S34="","",'1Y Pricing'!$I34*100)</f>
        <v/>
      </c>
      <c r="U34" s="116" t="str">
        <f t="shared" si="3"/>
        <v/>
      </c>
      <c r="V34" s="115" t="str">
        <v>USD_CURVE_OIS_15M</v>
      </c>
      <c r="W34" s="116">
        <f>IF(V34="","",'ON Pricing'!$G34*100)</f>
        <v>0.4529999999796212</v>
      </c>
      <c r="X34" s="116">
        <f t="shared" si="4"/>
        <v>0.4529999999796212</v>
      </c>
      <c r="Y34" s="115"/>
      <c r="Z34" s="116" t="str">
        <f>IF(Y34="","",'STD Pricing'!$G34*100)</f>
        <v/>
      </c>
      <c r="AA34" s="116" t="str">
        <f t="shared" si="5"/>
        <v/>
      </c>
      <c r="AC34" s="142" t="str">
        <f>IF($C34=" ","",ROUND(ABS(_xll.RtGet(SourceAlias,$J34,BID)-K34),4))</f>
        <v/>
      </c>
      <c r="AD34" s="142" t="str">
        <f>IF($C34=" ","",ROUND(ABS(_xll.RtGet(SourceAlias,$J34,ASK)-L34),4))</f>
        <v/>
      </c>
      <c r="AE34" s="142" t="str">
        <f>IF($D34=" ","",ROUND(ABS(_xll.RtGet(SourceAlias,$M34,BID)-N34),4))</f>
        <v/>
      </c>
      <c r="AF34" s="142" t="str">
        <f>IF($D34=" ","",ROUND(ABS(_xll.RtGet(SourceAlias,$M34,ASK)-O34),4))</f>
        <v/>
      </c>
      <c r="AG34" s="142" t="str">
        <f>IF($E34=" ","",ROUND(ABS(_xll.RtGet(SourceAlias,$P34,BID)-Q34),4))</f>
        <v/>
      </c>
      <c r="AH34" s="142" t="str">
        <f>IF($E34=" ","",ROUND(ABS(_xll.RtGet(SourceAlias,$P34,ASK)-R34),4))</f>
        <v/>
      </c>
      <c r="AI34" s="142" t="str">
        <f>IF($F34=" ","",ROUND(ABS(_xll.RtGet(SourceAlias,$S34,BID)-T34),4))</f>
        <v/>
      </c>
      <c r="AJ34" s="142" t="str">
        <f>IF($F34=" ","",ROUND(ABS(_xll.RtGet(SourceAlias,$S34,ASK)-U34),4))</f>
        <v/>
      </c>
      <c r="AK34" s="142">
        <f>IF($G34=" ","",ROUND(ABS(_xll.RtGet(SourceAlias,$V34,BID)-W34),4))</f>
        <v>1E-3</v>
      </c>
      <c r="AL34" s="142">
        <f>IF($G34=" ","",ROUND(ABS(_xll.RtGet(SourceAlias,$V34,ASK)-X34),4))</f>
        <v>1E-3</v>
      </c>
      <c r="AM34" s="142"/>
      <c r="AN34" s="142"/>
    </row>
    <row r="35" spans="1:40" x14ac:dyDescent="0.2">
      <c r="A35" s="192"/>
      <c r="B35" s="49" t="s">
        <v>112</v>
      </c>
      <c r="C35" s="86" t="s">
        <v>46</v>
      </c>
      <c r="D35" s="86" t="s">
        <v>46</v>
      </c>
      <c r="E35" s="86" t="s">
        <v>46</v>
      </c>
      <c r="F35" s="86" t="s">
        <v>46</v>
      </c>
      <c r="G35" s="86" t="str">
        <f>IF(Contribute="abcd",IF($E$2&lt;&gt;-1,_xll.RtContribute(SourceAlias,V35,Fields,W35:X35,"SCOPE:SERVER"),_xll.RtContribute(SourceAlias,"DDS_INSERT_S",$E$2:$G$2,V35:X35,"SCOPE:SERVER FTC:ALL")),"stopped")</f>
        <v>stopped</v>
      </c>
      <c r="H35" s="86" t="str">
        <v xml:space="preserve"> </v>
      </c>
      <c r="I35" s="3" t="s">
        <v>46</v>
      </c>
      <c r="J35" s="115" t="str">
        <v/>
      </c>
      <c r="K35" s="116" t="str">
        <f>IF(J35="","",'1M Pricing'!$I35*100)</f>
        <v/>
      </c>
      <c r="L35" s="116" t="str">
        <f t="shared" si="0"/>
        <v/>
      </c>
      <c r="M35" s="117" t="str">
        <v/>
      </c>
      <c r="N35" s="116" t="str">
        <f>IF(M35="","",'3M Pricing'!$I35*100)</f>
        <v/>
      </c>
      <c r="O35" s="116" t="str">
        <f t="shared" si="1"/>
        <v/>
      </c>
      <c r="P35" s="117" t="str">
        <v/>
      </c>
      <c r="Q35" s="116" t="str">
        <f>IF(P35="","",'6M Pricing'!$I35*100)</f>
        <v/>
      </c>
      <c r="R35" s="116" t="str">
        <f t="shared" si="2"/>
        <v/>
      </c>
      <c r="S35" s="117" t="str">
        <v/>
      </c>
      <c r="T35" s="116" t="str">
        <f>IF(S35="","",'1Y Pricing'!$I35*100)</f>
        <v/>
      </c>
      <c r="U35" s="116" t="str">
        <f t="shared" si="3"/>
        <v/>
      </c>
      <c r="V35" s="115" t="str">
        <v>USD_CURVE_OIS_18M</v>
      </c>
      <c r="W35" s="116">
        <f>IF(V35="","",'ON Pricing'!$G35*100)</f>
        <v>0.52099999999999425</v>
      </c>
      <c r="X35" s="116">
        <f t="shared" si="4"/>
        <v>0.52099999999999425</v>
      </c>
      <c r="Y35" s="115"/>
      <c r="Z35" s="116" t="str">
        <f>IF(Y35="","",'STD Pricing'!$G35*100)</f>
        <v/>
      </c>
      <c r="AA35" s="116" t="str">
        <f t="shared" si="5"/>
        <v/>
      </c>
      <c r="AC35" s="142" t="str">
        <f>IF($C35=" ","",ROUND(ABS(_xll.RtGet(SourceAlias,$J35,BID)-K35),4))</f>
        <v/>
      </c>
      <c r="AD35" s="142" t="str">
        <f>IF($C35=" ","",ROUND(ABS(_xll.RtGet(SourceAlias,$J35,ASK)-L35),4))</f>
        <v/>
      </c>
      <c r="AE35" s="142" t="str">
        <f>IF($D35=" ","",ROUND(ABS(_xll.RtGet(SourceAlias,$M35,BID)-N35),4))</f>
        <v/>
      </c>
      <c r="AF35" s="142" t="str">
        <f>IF($D35=" ","",ROUND(ABS(_xll.RtGet(SourceAlias,$M35,ASK)-O35),4))</f>
        <v/>
      </c>
      <c r="AG35" s="142" t="str">
        <f>IF($E35=" ","",ROUND(ABS(_xll.RtGet(SourceAlias,$P35,BID)-Q35),4))</f>
        <v/>
      </c>
      <c r="AH35" s="142" t="str">
        <f>IF($E35=" ","",ROUND(ABS(_xll.RtGet(SourceAlias,$P35,ASK)-R35),4))</f>
        <v/>
      </c>
      <c r="AI35" s="142" t="str">
        <f>IF($F35=" ","",ROUND(ABS(_xll.RtGet(SourceAlias,$S35,BID)-T35),4))</f>
        <v/>
      </c>
      <c r="AJ35" s="142" t="str">
        <f>IF($F35=" ","",ROUND(ABS(_xll.RtGet(SourceAlias,$S35,ASK)-U35),4))</f>
        <v/>
      </c>
      <c r="AK35" s="142">
        <f>IF($G35=" ","",ROUND(ABS(_xll.RtGet(SourceAlias,$V35,BID)-W35),4))</f>
        <v>1E-3</v>
      </c>
      <c r="AL35" s="142">
        <f>IF($G35=" ","",ROUND(ABS(_xll.RtGet(SourceAlias,$V35,ASK)-X35),4))</f>
        <v>1E-3</v>
      </c>
      <c r="AM35" s="142"/>
      <c r="AN35" s="142"/>
    </row>
    <row r="36" spans="1:40" x14ac:dyDescent="0.2">
      <c r="A36" s="192"/>
      <c r="B36" s="49" t="s">
        <v>113</v>
      </c>
      <c r="C36" s="86" t="s">
        <v>46</v>
      </c>
      <c r="D36" s="86" t="s">
        <v>46</v>
      </c>
      <c r="E36" s="86" t="s">
        <v>46</v>
      </c>
      <c r="F36" s="86" t="s">
        <v>46</v>
      </c>
      <c r="G36" s="86" t="str">
        <f>IF(Contribute="abcd",IF($E$2&lt;&gt;-1,_xll.RtContribute(SourceAlias,V36,Fields,W36:X36,"SCOPE:SERVER"),_xll.RtContribute(SourceAlias,"DDS_INSERT_S",$E$2:$G$2,V36:X36,"SCOPE:SERVER FTC:ALL")),"stopped")</f>
        <v>stopped</v>
      </c>
      <c r="H36" s="86" t="str">
        <v xml:space="preserve"> </v>
      </c>
      <c r="I36" s="3" t="s">
        <v>46</v>
      </c>
      <c r="J36" s="115" t="str">
        <v/>
      </c>
      <c r="K36" s="116" t="str">
        <f>IF(J36="","",'1M Pricing'!$I36*100)</f>
        <v/>
      </c>
      <c r="L36" s="116" t="str">
        <f t="shared" si="0"/>
        <v/>
      </c>
      <c r="M36" s="117" t="str">
        <v/>
      </c>
      <c r="N36" s="116" t="str">
        <f>IF(M36="","",'3M Pricing'!$I36*100)</f>
        <v/>
      </c>
      <c r="O36" s="116" t="str">
        <f t="shared" si="1"/>
        <v/>
      </c>
      <c r="P36" s="117" t="str">
        <v/>
      </c>
      <c r="Q36" s="116" t="str">
        <f>IF(P36="","",'6M Pricing'!$I36*100)</f>
        <v/>
      </c>
      <c r="R36" s="116" t="str">
        <f t="shared" si="2"/>
        <v/>
      </c>
      <c r="S36" s="117" t="str">
        <v/>
      </c>
      <c r="T36" s="116" t="str">
        <f>IF(S36="","",'1Y Pricing'!$I36*100)</f>
        <v/>
      </c>
      <c r="U36" s="116" t="str">
        <f t="shared" si="3"/>
        <v/>
      </c>
      <c r="V36" s="115" t="str">
        <v>USD_CURVE_OIS_21M</v>
      </c>
      <c r="W36" s="116">
        <f>IF(V36="","",'ON Pricing'!$G36*100)</f>
        <v>0.5940000000000023</v>
      </c>
      <c r="X36" s="116">
        <f t="shared" si="4"/>
        <v>0.5940000000000023</v>
      </c>
      <c r="Y36" s="115"/>
      <c r="Z36" s="116" t="str">
        <f>IF(Y36="","",'STD Pricing'!$G36*100)</f>
        <v/>
      </c>
      <c r="AA36" s="116" t="str">
        <f t="shared" si="5"/>
        <v/>
      </c>
      <c r="AC36" s="142" t="str">
        <f>IF($C36=" ","",ROUND(ABS(_xll.RtGet(SourceAlias,$J36,BID)-K36),4))</f>
        <v/>
      </c>
      <c r="AD36" s="142" t="str">
        <f>IF($C36=" ","",ROUND(ABS(_xll.RtGet(SourceAlias,$J36,ASK)-L36),4))</f>
        <v/>
      </c>
      <c r="AE36" s="142" t="str">
        <f>IF($D36=" ","",ROUND(ABS(_xll.RtGet(SourceAlias,$M36,BID)-N36),4))</f>
        <v/>
      </c>
      <c r="AF36" s="142" t="str">
        <f>IF($D36=" ","",ROUND(ABS(_xll.RtGet(SourceAlias,$M36,ASK)-O36),4))</f>
        <v/>
      </c>
      <c r="AG36" s="142" t="str">
        <f>IF($E36=" ","",ROUND(ABS(_xll.RtGet(SourceAlias,$P36,BID)-Q36),4))</f>
        <v/>
      </c>
      <c r="AH36" s="142" t="str">
        <f>IF($E36=" ","",ROUND(ABS(_xll.RtGet(SourceAlias,$P36,ASK)-R36),4))</f>
        <v/>
      </c>
      <c r="AI36" s="142" t="str">
        <f>IF($F36=" ","",ROUND(ABS(_xll.RtGet(SourceAlias,$S36,BID)-T36),4))</f>
        <v/>
      </c>
      <c r="AJ36" s="142" t="str">
        <f>IF($F36=" ","",ROUND(ABS(_xll.RtGet(SourceAlias,$S36,ASK)-U36),4))</f>
        <v/>
      </c>
      <c r="AK36" s="142">
        <f>IF($G36=" ","",ROUND(ABS(_xll.RtGet(SourceAlias,$V36,BID)-W36),4))</f>
        <v>0</v>
      </c>
      <c r="AL36" s="142">
        <f>IF($G36=" ","",ROUND(ABS(_xll.RtGet(SourceAlias,$V36,ASK)-X36),4))</f>
        <v>0</v>
      </c>
      <c r="AM36" s="142"/>
      <c r="AN36" s="142"/>
    </row>
    <row r="37" spans="1:40" x14ac:dyDescent="0.2">
      <c r="A37" s="192"/>
      <c r="B37" s="49" t="s">
        <v>23</v>
      </c>
      <c r="C37" s="86" t="str">
        <f>IF(Contribute="abcd",IF($E$2&lt;&gt;-1,_xll.RtContribute(SourceAlias,J37,Fields,K37:L37,"SCOPE:SERVER"),_xll.RtContribute(SourceAlias,"DDS_INSERT_S",$E$2:$G$2,J37:L37,"SCOPE:SERVER FTC:ALL")),"stopped")</f>
        <v>stopped</v>
      </c>
      <c r="D37" s="86" t="str">
        <f>IF(Contribute="abcd",IF($E$2&lt;&gt;-1,_xll.RtContribute(SourceAlias,M37,Fields,N37:O37,"SCOPE:SERVER"),_xll.RtContribute(SourceAlias,"DDS_INSERT_S",$E$2:$G$2,M37:O37,"SCOPE:SERVER FTC:ALL")),"stopped")</f>
        <v>stopped</v>
      </c>
      <c r="E37" s="86" t="str">
        <f>IF(Contribute="abcd",IF($E$2&lt;&gt;-1,_xll.RtContribute(SourceAlias,P37,Fields,Q37:R37,"SCOPE:SERVER"),_xll.RtContribute(SourceAlias,"DDS_INSERT_S",$E$2:$G$2,P37:R37,"SCOPE:SERVER FTC:ALL")),"stopped")</f>
        <v>stopped</v>
      </c>
      <c r="F37" s="86" t="str">
        <f>IF(Contribute="abcd",IF($E$2&lt;&gt;-1,_xll.RtContribute(SourceAlias,S37,Fields,T37:U37,"SCOPE:SERVER"),_xll.RtContribute(SourceAlias,"DDS_INSERT_S",$E$2:$G$2,T37:U37,"SCOPE:SERVER FTC:ALL")),"stopped")</f>
        <v>stopped</v>
      </c>
      <c r="G37" s="86" t="str">
        <f>IF(Contribute="abcd",IF($E$2&lt;&gt;-1,_xll.RtContribute(SourceAlias,V37,Fields,W37:X37,"SCOPE:SERVER"),_xll.RtContribute(SourceAlias,"DDS_INSERT_S",$E$2:$G$2,V37:X37,"SCOPE:SERVER FTC:ALL")),"stopped")</f>
        <v>stopped</v>
      </c>
      <c r="H37" s="86" t="str">
        <v>stopped</v>
      </c>
      <c r="I37" s="3" t="s">
        <v>46</v>
      </c>
      <c r="J37" s="115" t="str">
        <v>USD_CURVE_1M_2Y</v>
      </c>
      <c r="K37" s="116">
        <f>IF(J37="","",'1M Pricing'!$I37*100)</f>
        <v>0.74672697851493575</v>
      </c>
      <c r="L37" s="116">
        <f t="shared" si="0"/>
        <v>0.74672697851493575</v>
      </c>
      <c r="M37" s="117" t="str">
        <v>USD_CURVE_3M_2Y</v>
      </c>
      <c r="N37" s="116">
        <f>IF(M37="","",'3M Pricing'!$I37*100)</f>
        <v>0.85038491356892054</v>
      </c>
      <c r="O37" s="116">
        <f t="shared" si="1"/>
        <v>0.85038491356892054</v>
      </c>
      <c r="P37" s="117" t="str">
        <v>USD_CURVE_6M_2Y</v>
      </c>
      <c r="Q37" s="116">
        <f>IF(P37="","",'6M Pricing'!$I37*100)</f>
        <v>0.95168246595359018</v>
      </c>
      <c r="R37" s="116">
        <f t="shared" si="2"/>
        <v>0.95168246595359018</v>
      </c>
      <c r="S37" s="117" t="str">
        <v>USD_CURVE_12M_2Y</v>
      </c>
      <c r="T37" s="116">
        <f>IF(S37="","",'1Y Pricing'!$I37*100)</f>
        <v>1.1287024461328237</v>
      </c>
      <c r="U37" s="116">
        <f t="shared" si="3"/>
        <v>1.1287024461328237</v>
      </c>
      <c r="V37" s="115" t="str">
        <v>USD_CURVE_OIS_2Y</v>
      </c>
      <c r="W37" s="116">
        <f>IF(V37="","",'ON Pricing'!$G37*100)</f>
        <v>0.66400000000000714</v>
      </c>
      <c r="X37" s="116">
        <f t="shared" si="4"/>
        <v>0.66400000000000714</v>
      </c>
      <c r="Y37" s="115"/>
      <c r="Z37" s="116" t="str">
        <f>IF(Y37="","",'STD Pricing'!$G37*100)</f>
        <v/>
      </c>
      <c r="AA37" s="116" t="str">
        <f t="shared" si="5"/>
        <v/>
      </c>
      <c r="AC37" s="142">
        <f>IF($C37=" ","",ROUND(ABS(_xll.RtGet(SourceAlias,$J37,BID)-K37),4))</f>
        <v>2.0999999999999999E-3</v>
      </c>
      <c r="AD37" s="142">
        <f>IF($C37=" ","",ROUND(ABS(_xll.RtGet(SourceAlias,$J37,ASK)-L37),4))</f>
        <v>2.0999999999999999E-3</v>
      </c>
      <c r="AE37" s="142">
        <f>IF($D37=" ","",ROUND(ABS(_xll.RtGet(SourceAlias,$M37,BID)-N37),4))</f>
        <v>0</v>
      </c>
      <c r="AF37" s="142">
        <f>IF($D37=" ","",ROUND(ABS(_xll.RtGet(SourceAlias,$M37,ASK)-O37),4))</f>
        <v>0</v>
      </c>
      <c r="AG37" s="142">
        <f>IF($E37=" ","",ROUND(ABS(_xll.RtGet(SourceAlias,$P37,BID)-Q37),4))</f>
        <v>0</v>
      </c>
      <c r="AH37" s="142">
        <f>IF($E37=" ","",ROUND(ABS(_xll.RtGet(SourceAlias,$P37,ASK)-R37),4))</f>
        <v>0</v>
      </c>
      <c r="AI37" s="142">
        <f>IF($F37=" ","",ROUND(ABS(_xll.RtGet(SourceAlias,$S37,BID)-T37),4))</f>
        <v>0</v>
      </c>
      <c r="AJ37" s="142">
        <f>IF($F37=" ","",ROUND(ABS(_xll.RtGet(SourceAlias,$S37,ASK)-U37),4))</f>
        <v>0</v>
      </c>
      <c r="AK37" s="142">
        <f>IF($G37=" ","",ROUND(ABS(_xll.RtGet(SourceAlias,$V37,BID)-W37),4))</f>
        <v>1E-3</v>
      </c>
      <c r="AL37" s="142">
        <f>IF($G37=" ","",ROUND(ABS(_xll.RtGet(SourceAlias,$V37,ASK)-X37),4))</f>
        <v>1E-3</v>
      </c>
      <c r="AM37" s="142"/>
      <c r="AN37" s="142"/>
    </row>
    <row r="38" spans="1:40" x14ac:dyDescent="0.2">
      <c r="A38" s="192"/>
      <c r="B38" s="49" t="s">
        <v>24</v>
      </c>
      <c r="C38" s="86" t="str">
        <f>IF(Contribute="abcd",IF($E$2&lt;&gt;-1,_xll.RtContribute(SourceAlias,J38,Fields,K38:L38,"SCOPE:SERVER"),_xll.RtContribute(SourceAlias,"DDS_INSERT_S",$E$2:$G$2,J38:L38,"SCOPE:SERVER FTC:ALL")),"stopped")</f>
        <v>stopped</v>
      </c>
      <c r="D38" s="86" t="str">
        <f>IF(Contribute="abcd",IF($E$2&lt;&gt;-1,_xll.RtContribute(SourceAlias,M38,Fields,N38:O38,"SCOPE:SERVER"),_xll.RtContribute(SourceAlias,"DDS_INSERT_S",$E$2:$G$2,M38:O38,"SCOPE:SERVER FTC:ALL")),"stopped")</f>
        <v>stopped</v>
      </c>
      <c r="E38" s="86" t="str">
        <f>IF(Contribute="abcd",IF($E$2&lt;&gt;-1,_xll.RtContribute(SourceAlias,P38,Fields,Q38:R38,"SCOPE:SERVER"),_xll.RtContribute(SourceAlias,"DDS_INSERT_S",$E$2:$G$2,P38:R38,"SCOPE:SERVER FTC:ALL")),"stopped")</f>
        <v>stopped</v>
      </c>
      <c r="F38" s="86" t="str">
        <f>IF(Contribute="abcd",IF($E$2&lt;&gt;-1,_xll.RtContribute(SourceAlias,S38,Fields,T38:U38,"SCOPE:SERVER"),_xll.RtContribute(SourceAlias,"DDS_INSERT_S",$E$2:$G$2,T38:U38,"SCOPE:SERVER FTC:ALL")),"stopped")</f>
        <v>stopped</v>
      </c>
      <c r="G38" s="86" t="str">
        <f>IF(Contribute="abcd",IF($E$2&lt;&gt;-1,_xll.RtContribute(SourceAlias,V38,Fields,W38:X38,"SCOPE:SERVER"),_xll.RtContribute(SourceAlias,"DDS_INSERT_S",$E$2:$G$2,V38:X38,"SCOPE:SERVER FTC:ALL")),"stopped")</f>
        <v>stopped</v>
      </c>
      <c r="H38" s="86" t="str">
        <v>stopped</v>
      </c>
      <c r="I38" s="3" t="s">
        <v>46</v>
      </c>
      <c r="J38" s="115" t="str">
        <v>USD_CURVE_1M_3Y</v>
      </c>
      <c r="K38" s="120">
        <f>IF(J38="","",'1M Pricing'!$I38*100)</f>
        <v>1.0135354028291894</v>
      </c>
      <c r="L38" s="120">
        <f t="shared" ref="L38:L67" si="6">K38</f>
        <v>1.0135354028291894</v>
      </c>
      <c r="M38" s="115" t="str">
        <v>USD_CURVE_3M_3Y</v>
      </c>
      <c r="N38" s="120">
        <f>IF(M38="","",'3M Pricing'!$I38*100)</f>
        <v>1.1239999999917467</v>
      </c>
      <c r="O38" s="116">
        <f t="shared" ref="O38:O67" si="7">N38</f>
        <v>1.1239999999917467</v>
      </c>
      <c r="P38" s="115" t="str">
        <v>USD_CURVE_6M_3Y</v>
      </c>
      <c r="Q38" s="116">
        <f>IF(P38="","",'6M Pricing'!$I38*100)</f>
        <v>1.2143502385147842</v>
      </c>
      <c r="R38" s="116">
        <f t="shared" ref="R38:R67" si="8">Q38</f>
        <v>1.2143502385147842</v>
      </c>
      <c r="S38" s="115" t="str">
        <v>USD_CURVE_12M_3Y</v>
      </c>
      <c r="T38" s="116">
        <f>IF(S38="","",'1Y Pricing'!$I38*100)</f>
        <v>1.3812472068925303</v>
      </c>
      <c r="U38" s="116">
        <f t="shared" ref="U38:U67" si="9">T38</f>
        <v>1.3812472068925303</v>
      </c>
      <c r="V38" s="115" t="str">
        <v>USD_CURVE_OIS_3Y</v>
      </c>
      <c r="W38" s="120">
        <f>IF(V38="","",'ON Pricing'!$G38*100)</f>
        <v>0.9219999999999855</v>
      </c>
      <c r="X38" s="120">
        <f t="shared" ref="X38:X67" si="10">W38</f>
        <v>0.9219999999999855</v>
      </c>
      <c r="Y38" s="115"/>
      <c r="Z38" s="120" t="str">
        <f>IF(Y38="","",'STD Pricing'!$G38*100)</f>
        <v/>
      </c>
      <c r="AA38" s="120" t="str">
        <f t="shared" si="5"/>
        <v/>
      </c>
      <c r="AC38" s="143">
        <f>IF($C38=" ","",ROUND(ABS(_xll.RtGet(SourceAlias,$J38,BID)-K38),4))</f>
        <v>1.1000000000000001E-3</v>
      </c>
      <c r="AD38" s="143">
        <f>IF($C38=" ","",ROUND(ABS(_xll.RtGet(SourceAlias,$J38,ASK)-L38),4))</f>
        <v>1.1000000000000001E-3</v>
      </c>
      <c r="AE38" s="143">
        <f>IF($D38=" ","",ROUND(ABS(_xll.RtGet(SourceAlias,$M38,BID)-N38),4))</f>
        <v>1E-3</v>
      </c>
      <c r="AF38" s="143">
        <f>IF($D38=" ","",ROUND(ABS(_xll.RtGet(SourceAlias,$M38,ASK)-O38),4))</f>
        <v>1E-3</v>
      </c>
      <c r="AG38" s="143">
        <f>IF($E38=" ","",ROUND(ABS(_xll.RtGet(SourceAlias,$P38,BID)-Q38),4))</f>
        <v>1E-3</v>
      </c>
      <c r="AH38" s="143">
        <f>IF($E38=" ","",ROUND(ABS(_xll.RtGet(SourceAlias,$P38,ASK)-R38),4))</f>
        <v>1E-3</v>
      </c>
      <c r="AI38" s="143">
        <f>IF($F38=" ","",ROUND(ABS(_xll.RtGet(SourceAlias,$S38,BID)-T38),4))</f>
        <v>1E-3</v>
      </c>
      <c r="AJ38" s="143">
        <f>IF($F38=" ","",ROUND(ABS(_xll.RtGet(SourceAlias,$S38,ASK)-U38),4))</f>
        <v>1E-3</v>
      </c>
      <c r="AK38" s="143">
        <f>IF($G38=" ","",ROUND(ABS(_xll.RtGet(SourceAlias,$V38,BID)-W38),4))</f>
        <v>1E-3</v>
      </c>
      <c r="AL38" s="143">
        <f>IF($G38=" ","",ROUND(ABS(_xll.RtGet(SourceAlias,$V38,ASK)-X38),4))</f>
        <v>1E-3</v>
      </c>
      <c r="AM38" s="143"/>
      <c r="AN38" s="143"/>
    </row>
    <row r="39" spans="1:40" x14ac:dyDescent="0.2">
      <c r="A39" s="192"/>
      <c r="B39" s="49" t="s">
        <v>25</v>
      </c>
      <c r="C39" s="132" t="str">
        <f>IF(Contribute="abcd",IF($E$2&lt;&gt;-1,_xll.RtContribute(SourceAlias,J39,Fields,K39:L39,"SCOPE:SERVER"),_xll.RtContribute(SourceAlias,"DDS_INSERT_S",$E$2:$G$2,J39:L39,"SCOPE:SERVER FTC:ALL")),"stopped")</f>
        <v>stopped</v>
      </c>
      <c r="D39" s="139" t="str">
        <f>IF(Contribute="abcd",IF($E$2&lt;&gt;-1,_xll.RtContribute(SourceAlias,M39,Fields,N39:O39,"SCOPE:SERVER"),_xll.RtContribute(SourceAlias,"DDS_INSERT_S",$E$2:$G$2,M39:O39,"SCOPE:SERVER FTC:ALL")),"stopped")</f>
        <v>stopped</v>
      </c>
      <c r="E39" s="139" t="str">
        <f>IF(Contribute="abcd",IF($E$2&lt;&gt;-1,_xll.RtContribute(SourceAlias,P39,Fields,Q39:R39,"SCOPE:SERVER"),_xll.RtContribute(SourceAlias,"DDS_INSERT_S",$E$2:$G$2,P39:R39,"SCOPE:SERVER FTC:ALL")),"stopped")</f>
        <v>stopped</v>
      </c>
      <c r="F39" s="132" t="str">
        <f>IF(Contribute="abcd",IF($E$2&lt;&gt;-1,_xll.RtContribute(SourceAlias,S39,Fields,T39:U39,"SCOPE:SERVER"),_xll.RtContribute(SourceAlias,"DDS_INSERT_S",$E$2:$G$2,T39:U39,"SCOPE:SERVER FTC:ALL")),"stopped")</f>
        <v>stopped</v>
      </c>
      <c r="G39" s="139" t="str">
        <f>IF(Contribute="abcd",IF($E$2&lt;&gt;-1,_xll.RtContribute(SourceAlias,V39,Fields,W39:X39,"SCOPE:SERVER"),_xll.RtContribute(SourceAlias,"DDS_INSERT_S",$E$2:$G$2,V39:X39,"SCOPE:SERVER FTC:ALL")),"stopped")</f>
        <v>stopped</v>
      </c>
      <c r="H39" s="139" t="str">
        <v>stopped</v>
      </c>
      <c r="I39" s="3" t="s">
        <v>46</v>
      </c>
      <c r="J39" s="115" t="str">
        <v>USD_CURVE_1M_4Y</v>
      </c>
      <c r="K39" s="120">
        <f>IF(J39="","",'1M Pricing'!$I39*100)</f>
        <v>1.2473753686383038</v>
      </c>
      <c r="L39" s="120">
        <f t="shared" si="6"/>
        <v>1.2473753686383038</v>
      </c>
      <c r="M39" s="115" t="str">
        <v>USD_CURVE_3M_4Y</v>
      </c>
      <c r="N39" s="120">
        <f>IF(M39="","",'3M Pricing'!$I39*100)</f>
        <v>1.3639999999936561</v>
      </c>
      <c r="O39" s="116">
        <f t="shared" si="7"/>
        <v>1.3639999999936561</v>
      </c>
      <c r="P39" s="115" t="str">
        <v>USD_CURVE_6M_4Y</v>
      </c>
      <c r="Q39" s="116">
        <f>IF(P39="","",'6M Pricing'!$I39*100)</f>
        <v>1.448397260375917</v>
      </c>
      <c r="R39" s="116">
        <f t="shared" si="8"/>
        <v>1.448397260375917</v>
      </c>
      <c r="S39" s="115" t="str">
        <v>USD_CURVE_12M_4Y</v>
      </c>
      <c r="T39" s="116">
        <f>IF(S39="","",'1Y Pricing'!$I39*100)</f>
        <v>1.6139264109472213</v>
      </c>
      <c r="U39" s="116">
        <f t="shared" si="9"/>
        <v>1.6139264109472213</v>
      </c>
      <c r="V39" s="115" t="str">
        <v>USD_CURVE_OIS_4Y</v>
      </c>
      <c r="W39" s="120">
        <f>IF(V39="","",'ON Pricing'!$G39*100)</f>
        <v>1.1499999999999904</v>
      </c>
      <c r="X39" s="120">
        <f t="shared" si="10"/>
        <v>1.1499999999999904</v>
      </c>
      <c r="Y39" s="115"/>
      <c r="Z39" s="120" t="str">
        <f>IF(Y39="","",'STD Pricing'!$G39*100)</f>
        <v/>
      </c>
      <c r="AA39" s="120" t="str">
        <f t="shared" si="5"/>
        <v/>
      </c>
      <c r="AC39" s="143">
        <f>IF($C39=" ","",ROUND(ABS(_xll.RtGet(SourceAlias,$J39,BID)-K39),4))</f>
        <v>0</v>
      </c>
      <c r="AD39" s="143">
        <f>IF($C39=" ","",ROUND(ABS(_xll.RtGet(SourceAlias,$J39,ASK)-L39),4))</f>
        <v>0</v>
      </c>
      <c r="AE39" s="143">
        <f>IF($D39=" ","",ROUND(ABS(_xll.RtGet(SourceAlias,$M39,BID)-N39),4))</f>
        <v>0</v>
      </c>
      <c r="AF39" s="143">
        <f>IF($D39=" ","",ROUND(ABS(_xll.RtGet(SourceAlias,$M39,ASK)-O39),4))</f>
        <v>0</v>
      </c>
      <c r="AG39" s="143">
        <f>IF($E39=" ","",ROUND(ABS(_xll.RtGet(SourceAlias,$P39,BID)-Q39),4))</f>
        <v>0</v>
      </c>
      <c r="AH39" s="143">
        <f>IF($E39=" ","",ROUND(ABS(_xll.RtGet(SourceAlias,$P39,ASK)-R39),4))</f>
        <v>0</v>
      </c>
      <c r="AI39" s="143">
        <f>IF($F39=" ","",ROUND(ABS(_xll.RtGet(SourceAlias,$S39,BID)-T39),4))</f>
        <v>0</v>
      </c>
      <c r="AJ39" s="143">
        <f>IF($F39=" ","",ROUND(ABS(_xll.RtGet(SourceAlias,$S39,ASK)-U39),4))</f>
        <v>0</v>
      </c>
      <c r="AK39" s="143">
        <f>IF($G39=" ","",ROUND(ABS(_xll.RtGet(SourceAlias,$V39,BID)-W39),4))</f>
        <v>0</v>
      </c>
      <c r="AL39" s="143">
        <f>IF($G39=" ","",ROUND(ABS(_xll.RtGet(SourceAlias,$V39,ASK)-X39),4))</f>
        <v>0</v>
      </c>
      <c r="AM39" s="143"/>
      <c r="AN39" s="143"/>
    </row>
    <row r="40" spans="1:40" x14ac:dyDescent="0.2">
      <c r="A40" s="192"/>
      <c r="B40" s="49" t="s">
        <v>26</v>
      </c>
      <c r="C40" s="132" t="str">
        <f>IF(Contribute="abcd",IF($E$2&lt;&gt;-1,_xll.RtContribute(SourceAlias,J40,Fields,K40:L40,"SCOPE:SERVER"),_xll.RtContribute(SourceAlias,"DDS_INSERT_S",$E$2:$G$2,J40:L40,"SCOPE:SERVER FTC:ALL")),"stopped")</f>
        <v>stopped</v>
      </c>
      <c r="D40" s="139" t="str">
        <f>IF(Contribute="abcd",IF($E$2&lt;&gt;-1,_xll.RtContribute(SourceAlias,M40,Fields,N40:O40,"SCOPE:SERVER"),_xll.RtContribute(SourceAlias,"DDS_INSERT_S",$E$2:$G$2,M40:O40,"SCOPE:SERVER FTC:ALL")),"stopped")</f>
        <v>stopped</v>
      </c>
      <c r="E40" s="139" t="str">
        <f>IF(Contribute="abcd",IF($E$2&lt;&gt;-1,_xll.RtContribute(SourceAlias,P40,Fields,Q40:R40,"SCOPE:SERVER"),_xll.RtContribute(SourceAlias,"DDS_INSERT_S",$E$2:$G$2,P40:R40,"SCOPE:SERVER FTC:ALL")),"stopped")</f>
        <v>stopped</v>
      </c>
      <c r="F40" s="132" t="str">
        <f>IF(Contribute="abcd",IF($E$2&lt;&gt;-1,_xll.RtContribute(SourceAlias,S40,Fields,T40:U40,"SCOPE:SERVER"),_xll.RtContribute(SourceAlias,"DDS_INSERT_S",$E$2:$G$2,T40:U40,"SCOPE:SERVER FTC:ALL")),"stopped")</f>
        <v>stopped</v>
      </c>
      <c r="G40" s="139" t="str">
        <f>IF(Contribute="abcd",IF($E$2&lt;&gt;-1,_xll.RtContribute(SourceAlias,V40,Fields,W40:X40,"SCOPE:SERVER"),_xll.RtContribute(SourceAlias,"DDS_INSERT_S",$E$2:$G$2,V40:X40,"SCOPE:SERVER FTC:ALL")),"stopped")</f>
        <v>stopped</v>
      </c>
      <c r="H40" s="139" t="str">
        <v>stopped</v>
      </c>
      <c r="I40" s="3" t="s">
        <v>46</v>
      </c>
      <c r="J40" s="115" t="str">
        <v>USD_CURVE_1M_5Y</v>
      </c>
      <c r="K40" s="120">
        <f>IF(J40="","",'1M Pricing'!$I40*100)</f>
        <v>1.4502348912289287</v>
      </c>
      <c r="L40" s="120">
        <f t="shared" si="6"/>
        <v>1.4502348912289287</v>
      </c>
      <c r="M40" s="115" t="str">
        <v>USD_CURVE_3M_5Y</v>
      </c>
      <c r="N40" s="120">
        <f>IF(M40="","",'3M Pricing'!$I40*100)</f>
        <v>1.5709999999937057</v>
      </c>
      <c r="O40" s="116">
        <f t="shared" si="7"/>
        <v>1.5709999999937057</v>
      </c>
      <c r="P40" s="115" t="str">
        <v>USD_CURVE_6M_5Y</v>
      </c>
      <c r="Q40" s="116">
        <f>IF(P40="","",'6M Pricing'!$I40*100)</f>
        <v>1.6504326136123626</v>
      </c>
      <c r="R40" s="116">
        <f t="shared" si="8"/>
        <v>1.6504326136123626</v>
      </c>
      <c r="S40" s="115" t="str">
        <v>USD_CURVE_12M_5Y</v>
      </c>
      <c r="T40" s="116">
        <f>IF(S40="","",'1Y Pricing'!$I40*100)</f>
        <v>1.8173416498238795</v>
      </c>
      <c r="U40" s="116">
        <f t="shared" si="9"/>
        <v>1.8173416498238795</v>
      </c>
      <c r="V40" s="115" t="str">
        <v>USD_CURVE_OIS_5Y</v>
      </c>
      <c r="W40" s="120">
        <f>IF(V40="","",'ON Pricing'!$G40*100)</f>
        <v>1.3529999999999716</v>
      </c>
      <c r="X40" s="120">
        <f t="shared" si="10"/>
        <v>1.3529999999999716</v>
      </c>
      <c r="Y40" s="115"/>
      <c r="Z40" s="120" t="str">
        <f>IF(Y40="","",'STD Pricing'!$G40*100)</f>
        <v/>
      </c>
      <c r="AA40" s="120" t="str">
        <f t="shared" si="5"/>
        <v/>
      </c>
      <c r="AC40" s="143">
        <f>IF($C40=" ","",ROUND(ABS(_xll.RtGet(SourceAlias,$J40,BID)-K40),4))</f>
        <v>1E-3</v>
      </c>
      <c r="AD40" s="143">
        <f>IF($C40=" ","",ROUND(ABS(_xll.RtGet(SourceAlias,$J40,ASK)-L40),4))</f>
        <v>1E-3</v>
      </c>
      <c r="AE40" s="143">
        <f>IF($D40=" ","",ROUND(ABS(_xll.RtGet(SourceAlias,$M40,BID)-N40),4))</f>
        <v>1E-3</v>
      </c>
      <c r="AF40" s="143">
        <f>IF($D40=" ","",ROUND(ABS(_xll.RtGet(SourceAlias,$M40,ASK)-O40),4))</f>
        <v>1E-3</v>
      </c>
      <c r="AG40" s="143">
        <f>IF($E40=" ","",ROUND(ABS(_xll.RtGet(SourceAlias,$P40,BID)-Q40),4))</f>
        <v>1E-3</v>
      </c>
      <c r="AH40" s="143">
        <f>IF($E40=" ","",ROUND(ABS(_xll.RtGet(SourceAlias,$P40,ASK)-R40),4))</f>
        <v>1E-3</v>
      </c>
      <c r="AI40" s="143">
        <f>IF($F40=" ","",ROUND(ABS(_xll.RtGet(SourceAlias,$S40,BID)-T40),4))</f>
        <v>1E-3</v>
      </c>
      <c r="AJ40" s="143">
        <f>IF($F40=" ","",ROUND(ABS(_xll.RtGet(SourceAlias,$S40,ASK)-U40),4))</f>
        <v>1E-3</v>
      </c>
      <c r="AK40" s="143">
        <f>IF($G40=" ","",ROUND(ABS(_xll.RtGet(SourceAlias,$V40,BID)-W40),4))</f>
        <v>0</v>
      </c>
      <c r="AL40" s="143">
        <f>IF($G40=" ","",ROUND(ABS(_xll.RtGet(SourceAlias,$V40,ASK)-X40),4))</f>
        <v>0</v>
      </c>
      <c r="AM40" s="143"/>
      <c r="AN40" s="143"/>
    </row>
    <row r="41" spans="1:40" x14ac:dyDescent="0.2">
      <c r="A41" s="192"/>
      <c r="B41" s="49" t="s">
        <v>72</v>
      </c>
      <c r="C41" s="132" t="str">
        <f>IF(Contribute="abcd",IF($E$2&lt;&gt;-1,_xll.RtContribute(SourceAlias,J41,Fields,K41:L41,"SCOPE:SERVER"),_xll.RtContribute(SourceAlias,"DDS_INSERT_S",$E$2:$G$2,J41:L41,"SCOPE:SERVER FTC:ALL")),"stopped")</f>
        <v>stopped</v>
      </c>
      <c r="D41" s="139" t="str">
        <f>IF(Contribute="abcd",IF($E$2&lt;&gt;-1,_xll.RtContribute(SourceAlias,M41,Fields,N41:O41,"SCOPE:SERVER"),_xll.RtContribute(SourceAlias,"DDS_INSERT_S",$E$2:$G$2,M41:O41,"SCOPE:SERVER FTC:ALL")),"stopped")</f>
        <v>stopped</v>
      </c>
      <c r="E41" s="139" t="str">
        <f>IF(Contribute="abcd",IF($E$2&lt;&gt;-1,_xll.RtContribute(SourceAlias,P41,Fields,Q41:R41,"SCOPE:SERVER"),_xll.RtContribute(SourceAlias,"DDS_INSERT_S",$E$2:$G$2,P41:R41,"SCOPE:SERVER FTC:ALL")),"stopped")</f>
        <v>stopped</v>
      </c>
      <c r="F41" s="132" t="str">
        <f>IF(Contribute="abcd",IF($E$2&lt;&gt;-1,_xll.RtContribute(SourceAlias,S41,Fields,T41:U41,"SCOPE:SERVER"),_xll.RtContribute(SourceAlias,"DDS_INSERT_S",$E$2:$G$2,T41:U41,"SCOPE:SERVER FTC:ALL")),"stopped")</f>
        <v>stopped</v>
      </c>
      <c r="G41" s="139" t="str">
        <f>IF(Contribute="abcd",IF($E$2&lt;&gt;-1,_xll.RtContribute(SourceAlias,V41,Fields,W41:X41,"SCOPE:SERVER"),_xll.RtContribute(SourceAlias,"DDS_INSERT_S",$E$2:$G$2,V41:X41,"SCOPE:SERVER FTC:ALL")),"stopped")</f>
        <v>stopped</v>
      </c>
      <c r="H41" s="139" t="str">
        <v>stopped</v>
      </c>
      <c r="I41" s="3" t="s">
        <v>46</v>
      </c>
      <c r="J41" s="115" t="str">
        <v>USD_CURVE_1M_6Y</v>
      </c>
      <c r="K41" s="120">
        <f>IF(J41="","",'1M Pricing'!$I41*100)</f>
        <v>1.6271435245909831</v>
      </c>
      <c r="L41" s="120">
        <f t="shared" si="6"/>
        <v>1.6271435245909831</v>
      </c>
      <c r="M41" s="115" t="str">
        <v>USD_CURVE_3M_6Y</v>
      </c>
      <c r="N41" s="120">
        <f>IF(M41="","",'3M Pricing'!$I41*100)</f>
        <v>1.7469999999948551</v>
      </c>
      <c r="O41" s="116">
        <f t="shared" si="7"/>
        <v>1.7469999999948551</v>
      </c>
      <c r="P41" s="115" t="str">
        <v>USD_CURVE_6M_6Y</v>
      </c>
      <c r="Q41" s="116">
        <f>IF(P41="","",'6M Pricing'!$I41*100)</f>
        <v>1.8274889139127073</v>
      </c>
      <c r="R41" s="116">
        <f t="shared" si="8"/>
        <v>1.8274889139127073</v>
      </c>
      <c r="S41" s="115" t="str">
        <v>USD_CURVE_12M_6Y</v>
      </c>
      <c r="T41" s="116">
        <f>IF(S41="","",'1Y Pricing'!$I41*100)</f>
        <v>1.9909820203072617</v>
      </c>
      <c r="U41" s="116">
        <f t="shared" si="9"/>
        <v>1.9909820203072617</v>
      </c>
      <c r="V41" s="115" t="str">
        <v>USD_CURVE_OIS_6Y</v>
      </c>
      <c r="W41" s="120">
        <f>IF(V41="","",'ON Pricing'!$G41*100)</f>
        <v>1.5290000000000039</v>
      </c>
      <c r="X41" s="120">
        <f t="shared" si="10"/>
        <v>1.5290000000000039</v>
      </c>
      <c r="Y41" s="115"/>
      <c r="Z41" s="120" t="str">
        <f>IF(Y41="","",'STD Pricing'!$G41*100)</f>
        <v/>
      </c>
      <c r="AA41" s="120" t="str">
        <f t="shared" si="5"/>
        <v/>
      </c>
      <c r="AC41" s="143">
        <f>IF($C41=" ","",ROUND(ABS(_xll.RtGet(SourceAlias,$J41,BID)-K41),4))</f>
        <v>0</v>
      </c>
      <c r="AD41" s="143">
        <f>IF($C41=" ","",ROUND(ABS(_xll.RtGet(SourceAlias,$J41,ASK)-L41),4))</f>
        <v>0</v>
      </c>
      <c r="AE41" s="143">
        <f>IF($D41=" ","",ROUND(ABS(_xll.RtGet(SourceAlias,$M41,BID)-N41),4))</f>
        <v>0</v>
      </c>
      <c r="AF41" s="143">
        <f>IF($D41=" ","",ROUND(ABS(_xll.RtGet(SourceAlias,$M41,ASK)-O41),4))</f>
        <v>0</v>
      </c>
      <c r="AG41" s="143">
        <f>IF($E41=" ","",ROUND(ABS(_xll.RtGet(SourceAlias,$P41,BID)-Q41),4))</f>
        <v>0</v>
      </c>
      <c r="AH41" s="143">
        <f>IF($E41=" ","",ROUND(ABS(_xll.RtGet(SourceAlias,$P41,ASK)-R41),4))</f>
        <v>0</v>
      </c>
      <c r="AI41" s="143">
        <f>IF($F41=" ","",ROUND(ABS(_xll.RtGet(SourceAlias,$S41,BID)-T41),4))</f>
        <v>0</v>
      </c>
      <c r="AJ41" s="143">
        <f>IF($F41=" ","",ROUND(ABS(_xll.RtGet(SourceAlias,$S41,ASK)-U41),4))</f>
        <v>0</v>
      </c>
      <c r="AK41" s="143">
        <f>IF($G41=" ","",ROUND(ABS(_xll.RtGet(SourceAlias,$V41,BID)-W41),4))</f>
        <v>0</v>
      </c>
      <c r="AL41" s="143">
        <f>IF($G41=" ","",ROUND(ABS(_xll.RtGet(SourceAlias,$V41,ASK)-X41),4))</f>
        <v>0</v>
      </c>
      <c r="AM41" s="143"/>
      <c r="AN41" s="143"/>
    </row>
    <row r="42" spans="1:40" x14ac:dyDescent="0.2">
      <c r="A42" s="192"/>
      <c r="B42" s="49" t="s">
        <v>27</v>
      </c>
      <c r="C42" s="132" t="str">
        <f>IF(Contribute="abcd",IF($E$2&lt;&gt;-1,_xll.RtContribute(SourceAlias,J42,Fields,K42:L42,"SCOPE:SERVER"),_xll.RtContribute(SourceAlias,"DDS_INSERT_S",$E$2:$G$2,J42:L42,"SCOPE:SERVER FTC:ALL")),"stopped")</f>
        <v>stopped</v>
      </c>
      <c r="D42" s="139" t="str">
        <f>IF(Contribute="abcd",IF($E$2&lt;&gt;-1,_xll.RtContribute(SourceAlias,M42,Fields,N42:O42,"SCOPE:SERVER"),_xll.RtContribute(SourceAlias,"DDS_INSERT_S",$E$2:$G$2,M42:O42,"SCOPE:SERVER FTC:ALL")),"stopped")</f>
        <v>stopped</v>
      </c>
      <c r="E42" s="139" t="str">
        <f>IF(Contribute="abcd",IF($E$2&lt;&gt;-1,_xll.RtContribute(SourceAlias,P42,Fields,Q42:R42,"SCOPE:SERVER"),_xll.RtContribute(SourceAlias,"DDS_INSERT_S",$E$2:$G$2,P42:R42,"SCOPE:SERVER FTC:ALL")),"stopped")</f>
        <v>stopped</v>
      </c>
      <c r="F42" s="132" t="str">
        <f>IF(Contribute="abcd",IF($E$2&lt;&gt;-1,_xll.RtContribute(SourceAlias,S42,Fields,T42:U42,"SCOPE:SERVER"),_xll.RtContribute(SourceAlias,"DDS_INSERT_S",$E$2:$G$2,T42:U42,"SCOPE:SERVER FTC:ALL")),"stopped")</f>
        <v>stopped</v>
      </c>
      <c r="G42" s="139" t="str">
        <f>IF(Contribute="abcd",IF($E$2&lt;&gt;-1,_xll.RtContribute(SourceAlias,V42,Fields,W42:X42,"SCOPE:SERVER"),_xll.RtContribute(SourceAlias,"DDS_INSERT_S",$E$2:$G$2,V42:X42,"SCOPE:SERVER FTC:ALL")),"stopped")</f>
        <v>stopped</v>
      </c>
      <c r="H42" s="139" t="str">
        <v>stopped</v>
      </c>
      <c r="I42" s="3" t="s">
        <v>46</v>
      </c>
      <c r="J42" s="115" t="str">
        <v>USD_CURVE_1M_7Y</v>
      </c>
      <c r="K42" s="120">
        <f>IF(J42="","",'1M Pricing'!$I42*100)</f>
        <v>1.7780863725091109</v>
      </c>
      <c r="L42" s="120">
        <f t="shared" si="6"/>
        <v>1.7780863725091109</v>
      </c>
      <c r="M42" s="115" t="str">
        <v>USD_CURVE_3M_7Y</v>
      </c>
      <c r="N42" s="120">
        <f>IF(M42="","",'3M Pricing'!$I42*100)</f>
        <v>1.8949999999934666</v>
      </c>
      <c r="O42" s="116">
        <f t="shared" si="7"/>
        <v>1.8949999999934666</v>
      </c>
      <c r="P42" s="115" t="str">
        <v>USD_CURVE_6M_7Y</v>
      </c>
      <c r="Q42" s="116">
        <f>IF(P42="","",'6M Pricing'!$I42*100)</f>
        <v>1.9765379727909937</v>
      </c>
      <c r="R42" s="116">
        <f t="shared" si="8"/>
        <v>1.9765379727909937</v>
      </c>
      <c r="S42" s="115" t="str">
        <v>USD_CURVE_12M_7Y</v>
      </c>
      <c r="T42" s="116">
        <f>IF(S42="","",'1Y Pricing'!$I42*100)</f>
        <v>2.1378522955239929</v>
      </c>
      <c r="U42" s="116">
        <f t="shared" si="9"/>
        <v>2.1378522955239929</v>
      </c>
      <c r="V42" s="115" t="str">
        <v>USD_CURVE_OIS_7Y</v>
      </c>
      <c r="W42" s="120">
        <f>IF(V42="","",'ON Pricing'!$G42*100)</f>
        <v>1.6759999999999928</v>
      </c>
      <c r="X42" s="120">
        <f t="shared" si="10"/>
        <v>1.6759999999999928</v>
      </c>
      <c r="Y42" s="115"/>
      <c r="Z42" s="120" t="str">
        <f>IF(Y42="","",'STD Pricing'!$G42*100)</f>
        <v/>
      </c>
      <c r="AA42" s="120" t="str">
        <f t="shared" si="5"/>
        <v/>
      </c>
      <c r="AC42" s="143">
        <f>IF($C42=" ","",ROUND(ABS(_xll.RtGet(SourceAlias,$J42,BID)-K42),4))</f>
        <v>1E-3</v>
      </c>
      <c r="AD42" s="143">
        <f>IF($C42=" ","",ROUND(ABS(_xll.RtGet(SourceAlias,$J42,ASK)-L42),4))</f>
        <v>1E-3</v>
      </c>
      <c r="AE42" s="143">
        <f>IF($D42=" ","",ROUND(ABS(_xll.RtGet(SourceAlias,$M42,BID)-N42),4))</f>
        <v>1E-3</v>
      </c>
      <c r="AF42" s="143">
        <f>IF($D42=" ","",ROUND(ABS(_xll.RtGet(SourceAlias,$M42,ASK)-O42),4))</f>
        <v>1E-3</v>
      </c>
      <c r="AG42" s="143">
        <f>IF($E42=" ","",ROUND(ABS(_xll.RtGet(SourceAlias,$P42,BID)-Q42),4))</f>
        <v>1E-3</v>
      </c>
      <c r="AH42" s="143">
        <f>IF($E42=" ","",ROUND(ABS(_xll.RtGet(SourceAlias,$P42,ASK)-R42),4))</f>
        <v>1E-3</v>
      </c>
      <c r="AI42" s="143">
        <f>IF($F42=" ","",ROUND(ABS(_xll.RtGet(SourceAlias,$S42,BID)-T42),4))</f>
        <v>1E-3</v>
      </c>
      <c r="AJ42" s="143">
        <f>IF($F42=" ","",ROUND(ABS(_xll.RtGet(SourceAlias,$S42,ASK)-U42),4))</f>
        <v>1E-3</v>
      </c>
      <c r="AK42" s="143">
        <f>IF($G42=" ","",ROUND(ABS(_xll.RtGet(SourceAlias,$V42,BID)-W42),4))</f>
        <v>0</v>
      </c>
      <c r="AL42" s="143">
        <f>IF($G42=" ","",ROUND(ABS(_xll.RtGet(SourceAlias,$V42,ASK)-X42),4))</f>
        <v>0</v>
      </c>
      <c r="AM42" s="143"/>
      <c r="AN42" s="143"/>
    </row>
    <row r="43" spans="1:40" x14ac:dyDescent="0.2">
      <c r="A43" s="192"/>
      <c r="B43" s="49" t="s">
        <v>73</v>
      </c>
      <c r="C43" s="132" t="str">
        <f>IF(Contribute="abcd",IF($E$2&lt;&gt;-1,_xll.RtContribute(SourceAlias,J43,Fields,K43:L43,"SCOPE:SERVER"),_xll.RtContribute(SourceAlias,"DDS_INSERT_S",$E$2:$G$2,J43:L43,"SCOPE:SERVER FTC:ALL")),"stopped")</f>
        <v>stopped</v>
      </c>
      <c r="D43" s="139" t="str">
        <f>IF(Contribute="abcd",IF($E$2&lt;&gt;-1,_xll.RtContribute(SourceAlias,M43,Fields,N43:O43,"SCOPE:SERVER"),_xll.RtContribute(SourceAlias,"DDS_INSERT_S",$E$2:$G$2,M43:O43,"SCOPE:SERVER FTC:ALL")),"stopped")</f>
        <v>stopped</v>
      </c>
      <c r="E43" s="139" t="str">
        <f>IF(Contribute="abcd",IF($E$2&lt;&gt;-1,_xll.RtContribute(SourceAlias,P43,Fields,Q43:R43,"SCOPE:SERVER"),_xll.RtContribute(SourceAlias,"DDS_INSERT_S",$E$2:$G$2,P43:R43,"SCOPE:SERVER FTC:ALL")),"stopped")</f>
        <v>stopped</v>
      </c>
      <c r="F43" s="132" t="str">
        <f>IF(Contribute="abcd",IF($E$2&lt;&gt;-1,_xll.RtContribute(SourceAlias,S43,Fields,T43:U43,"SCOPE:SERVER"),_xll.RtContribute(SourceAlias,"DDS_INSERT_S",$E$2:$G$2,T43:U43,"SCOPE:SERVER FTC:ALL")),"stopped")</f>
        <v>stopped</v>
      </c>
      <c r="G43" s="139" t="str">
        <f>IF(Contribute="abcd",IF($E$2&lt;&gt;-1,_xll.RtContribute(SourceAlias,V43,Fields,W43:X43,"SCOPE:SERVER"),_xll.RtContribute(SourceAlias,"DDS_INSERT_S",$E$2:$G$2,V43:X43,"SCOPE:SERVER FTC:ALL")),"stopped")</f>
        <v>stopped</v>
      </c>
      <c r="H43" s="139" t="str">
        <v>stopped</v>
      </c>
      <c r="I43" s="3" t="s">
        <v>46</v>
      </c>
      <c r="J43" s="115" t="str">
        <v>USD_CURVE_1M_8Y</v>
      </c>
      <c r="K43" s="120">
        <f>IF(J43="","",'1M Pricing'!$I43*100)</f>
        <v>1.9030486219144591</v>
      </c>
      <c r="L43" s="120">
        <f t="shared" si="6"/>
        <v>1.9030486219144591</v>
      </c>
      <c r="M43" s="115" t="str">
        <v>USD_CURVE_3M_8Y</v>
      </c>
      <c r="N43" s="120">
        <f>IF(M43="","",'3M Pricing'!$I43*100)</f>
        <v>2.0169999999984372</v>
      </c>
      <c r="O43" s="116">
        <f t="shared" si="7"/>
        <v>2.0169999999984372</v>
      </c>
      <c r="P43" s="115" t="str">
        <v>USD_CURVE_6M_8Y</v>
      </c>
      <c r="Q43" s="116">
        <f>IF(P43="","",'6M Pricing'!$I43*100)</f>
        <v>2.1005866391690864</v>
      </c>
      <c r="R43" s="116">
        <f t="shared" si="8"/>
        <v>2.1005866391690864</v>
      </c>
      <c r="S43" s="115" t="str">
        <v>USD_CURVE_12M_8Y</v>
      </c>
      <c r="T43" s="116">
        <f>IF(S43="","",'1Y Pricing'!$I43*100)</f>
        <v>2.2574374711330361</v>
      </c>
      <c r="U43" s="116">
        <f t="shared" si="9"/>
        <v>2.2574374711330361</v>
      </c>
      <c r="V43" s="115" t="str">
        <v>USD_CURVE_OIS_8Y</v>
      </c>
      <c r="W43" s="120">
        <f>IF(V43="","",'ON Pricing'!$G43*100)</f>
        <v>1.7960000000049345</v>
      </c>
      <c r="X43" s="120">
        <f t="shared" si="10"/>
        <v>1.7960000000049345</v>
      </c>
      <c r="Y43" s="115"/>
      <c r="Z43" s="120" t="str">
        <f>IF(Y43="","",'STD Pricing'!$G43*100)</f>
        <v/>
      </c>
      <c r="AA43" s="120" t="str">
        <f t="shared" si="5"/>
        <v/>
      </c>
      <c r="AC43" s="143">
        <f>IF($C43=" ","",ROUND(ABS(_xll.RtGet(SourceAlias,$J43,BID)-K43),4))</f>
        <v>1E-3</v>
      </c>
      <c r="AD43" s="143">
        <f>IF($C43=" ","",ROUND(ABS(_xll.RtGet(SourceAlias,$J43,ASK)-L43),4))</f>
        <v>1E-3</v>
      </c>
      <c r="AE43" s="143">
        <f>IF($D43=" ","",ROUND(ABS(_xll.RtGet(SourceAlias,$M43,BID)-N43),4))</f>
        <v>1E-3</v>
      </c>
      <c r="AF43" s="143">
        <f>IF($D43=" ","",ROUND(ABS(_xll.RtGet(SourceAlias,$M43,ASK)-O43),4))</f>
        <v>1E-3</v>
      </c>
      <c r="AG43" s="143">
        <f>IF($E43=" ","",ROUND(ABS(_xll.RtGet(SourceAlias,$P43,BID)-Q43),4))</f>
        <v>1E-3</v>
      </c>
      <c r="AH43" s="143">
        <f>IF($E43=" ","",ROUND(ABS(_xll.RtGet(SourceAlias,$P43,ASK)-R43),4))</f>
        <v>1E-3</v>
      </c>
      <c r="AI43" s="143">
        <f>IF($F43=" ","",ROUND(ABS(_xll.RtGet(SourceAlias,$S43,BID)-T43),4))</f>
        <v>1E-3</v>
      </c>
      <c r="AJ43" s="143">
        <f>IF($F43=" ","",ROUND(ABS(_xll.RtGet(SourceAlias,$S43,ASK)-U43),4))</f>
        <v>1E-3</v>
      </c>
      <c r="AK43" s="143">
        <f>IF($G43=" ","",ROUND(ABS(_xll.RtGet(SourceAlias,$V43,BID)-W43),4))</f>
        <v>0</v>
      </c>
      <c r="AL43" s="143">
        <f>IF($G43=" ","",ROUND(ABS(_xll.RtGet(SourceAlias,$V43,ASK)-X43),4))</f>
        <v>0</v>
      </c>
      <c r="AM43" s="143"/>
      <c r="AN43" s="143"/>
    </row>
    <row r="44" spans="1:40" x14ac:dyDescent="0.2">
      <c r="A44" s="192"/>
      <c r="B44" s="49" t="s">
        <v>74</v>
      </c>
      <c r="C44" s="132" t="str">
        <f>IF(Contribute="abcd",IF($E$2&lt;&gt;-1,_xll.RtContribute(SourceAlias,J44,Fields,K44:L44,"SCOPE:SERVER"),_xll.RtContribute(SourceAlias,"DDS_INSERT_S",$E$2:$G$2,J44:L44,"SCOPE:SERVER FTC:ALL")),"stopped")</f>
        <v>stopped</v>
      </c>
      <c r="D44" s="139" t="str">
        <f>IF(Contribute="abcd",IF($E$2&lt;&gt;-1,_xll.RtContribute(SourceAlias,M44,Fields,N44:O44,"SCOPE:SERVER"),_xll.RtContribute(SourceAlias,"DDS_INSERT_S",$E$2:$G$2,M44:O44,"SCOPE:SERVER FTC:ALL")),"stopped")</f>
        <v>stopped</v>
      </c>
      <c r="E44" s="139" t="str">
        <f>IF(Contribute="abcd",IF($E$2&lt;&gt;-1,_xll.RtContribute(SourceAlias,P44,Fields,Q44:R44,"SCOPE:SERVER"),_xll.RtContribute(SourceAlias,"DDS_INSERT_S",$E$2:$G$2,P44:R44,"SCOPE:SERVER FTC:ALL")),"stopped")</f>
        <v>stopped</v>
      </c>
      <c r="F44" s="132" t="str">
        <f>IF(Contribute="abcd",IF($E$2&lt;&gt;-1,_xll.RtContribute(SourceAlias,S44,Fields,T44:U44,"SCOPE:SERVER"),_xll.RtContribute(SourceAlias,"DDS_INSERT_S",$E$2:$G$2,T44:U44,"SCOPE:SERVER FTC:ALL")),"stopped")</f>
        <v>stopped</v>
      </c>
      <c r="G44" s="139" t="str">
        <f>IF(Contribute="abcd",IF($E$2&lt;&gt;-1,_xll.RtContribute(SourceAlias,V44,Fields,W44:X44,"SCOPE:SERVER"),_xll.RtContribute(SourceAlias,"DDS_INSERT_S",$E$2:$G$2,V44:X44,"SCOPE:SERVER FTC:ALL")),"stopped")</f>
        <v>stopped</v>
      </c>
      <c r="H44" s="139" t="str">
        <v>stopped</v>
      </c>
      <c r="I44" s="3" t="s">
        <v>46</v>
      </c>
      <c r="J44" s="115" t="str">
        <v>USD_CURVE_1M_9Y</v>
      </c>
      <c r="K44" s="120">
        <f>IF(J44="","",'1M Pricing'!$I44*100)</f>
        <v>2.0070301774834194</v>
      </c>
      <c r="L44" s="120">
        <f t="shared" si="6"/>
        <v>2.0070301774834194</v>
      </c>
      <c r="M44" s="115" t="str">
        <v>USD_CURVE_3M_9Y</v>
      </c>
      <c r="N44" s="120">
        <f>IF(M44="","",'3M Pricing'!$I44*100)</f>
        <v>2.1170000000001741</v>
      </c>
      <c r="O44" s="116">
        <f t="shared" si="7"/>
        <v>2.1170000000001741</v>
      </c>
      <c r="P44" s="115" t="str">
        <v>USD_CURVE_6M_9Y</v>
      </c>
      <c r="Q44" s="116">
        <f>IF(P44="","",'6M Pricing'!$I44*100)</f>
        <v>2.2026329140696981</v>
      </c>
      <c r="R44" s="116">
        <f t="shared" si="8"/>
        <v>2.2026329140696981</v>
      </c>
      <c r="S44" s="115" t="str">
        <v>USD_CURVE_12M_9Y</v>
      </c>
      <c r="T44" s="116">
        <f>IF(S44="","",'1Y Pricing'!$I44*100)</f>
        <v>2.3562684363796302</v>
      </c>
      <c r="U44" s="116">
        <f t="shared" si="9"/>
        <v>2.3562684363796302</v>
      </c>
      <c r="V44" s="115" t="str">
        <v>USD_CURVE_OIS_9Y</v>
      </c>
      <c r="W44" s="120">
        <f>IF(V44="","",'ON Pricing'!$G44*100)</f>
        <v>1.9020000000037753</v>
      </c>
      <c r="X44" s="120">
        <f t="shared" si="10"/>
        <v>1.9020000000037753</v>
      </c>
      <c r="Y44" s="115"/>
      <c r="Z44" s="120" t="str">
        <f>IF(Y44="","",'STD Pricing'!$G44*100)</f>
        <v/>
      </c>
      <c r="AA44" s="120" t="str">
        <f t="shared" si="5"/>
        <v/>
      </c>
      <c r="AC44" s="143">
        <f>IF($C44=" ","",ROUND(ABS(_xll.RtGet(SourceAlias,$J44,BID)-K44),4))</f>
        <v>1E-3</v>
      </c>
      <c r="AD44" s="143">
        <f>IF($C44=" ","",ROUND(ABS(_xll.RtGet(SourceAlias,$J44,ASK)-L44),4))</f>
        <v>1E-3</v>
      </c>
      <c r="AE44" s="143">
        <f>IF($D44=" ","",ROUND(ABS(_xll.RtGet(SourceAlias,$M44,BID)-N44),4))</f>
        <v>1E-3</v>
      </c>
      <c r="AF44" s="143">
        <f>IF($D44=" ","",ROUND(ABS(_xll.RtGet(SourceAlias,$M44,ASK)-O44),4))</f>
        <v>1E-3</v>
      </c>
      <c r="AG44" s="143">
        <f>IF($E44=" ","",ROUND(ABS(_xll.RtGet(SourceAlias,$P44,BID)-Q44),4))</f>
        <v>1E-3</v>
      </c>
      <c r="AH44" s="143">
        <f>IF($E44=" ","",ROUND(ABS(_xll.RtGet(SourceAlias,$P44,ASK)-R44),4))</f>
        <v>1E-3</v>
      </c>
      <c r="AI44" s="143">
        <f>IF($F44=" ","",ROUND(ABS(_xll.RtGet(SourceAlias,$S44,BID)-T44),4))</f>
        <v>1E-3</v>
      </c>
      <c r="AJ44" s="143">
        <f>IF($F44=" ","",ROUND(ABS(_xll.RtGet(SourceAlias,$S44,ASK)-U44),4))</f>
        <v>1E-3</v>
      </c>
      <c r="AK44" s="143">
        <f>IF($G44=" ","",ROUND(ABS(_xll.RtGet(SourceAlias,$V44,BID)-W44),4))</f>
        <v>0</v>
      </c>
      <c r="AL44" s="143">
        <f>IF($G44=" ","",ROUND(ABS(_xll.RtGet(SourceAlias,$V44,ASK)-X44),4))</f>
        <v>0</v>
      </c>
      <c r="AM44" s="143"/>
      <c r="AN44" s="143"/>
    </row>
    <row r="45" spans="1:40" x14ac:dyDescent="0.2">
      <c r="A45" s="192"/>
      <c r="B45" s="49" t="s">
        <v>28</v>
      </c>
      <c r="C45" s="132" t="str">
        <f>IF(Contribute="abcd",IF($E$2&lt;&gt;-1,_xll.RtContribute(SourceAlias,J45,Fields,K45:L45,"SCOPE:SERVER"),_xll.RtContribute(SourceAlias,"DDS_INSERT_S",$E$2:$G$2,J45:L45,"SCOPE:SERVER FTC:ALL")),"stopped")</f>
        <v>stopped</v>
      </c>
      <c r="D45" s="139" t="str">
        <f>IF(Contribute="abcd",IF($E$2&lt;&gt;-1,_xll.RtContribute(SourceAlias,M45,Fields,N45:O45,"SCOPE:SERVER"),_xll.RtContribute(SourceAlias,"DDS_INSERT_S",$E$2:$G$2,M45:O45,"SCOPE:SERVER FTC:ALL")),"stopped")</f>
        <v>stopped</v>
      </c>
      <c r="E45" s="139" t="str">
        <f>IF(Contribute="abcd",IF($E$2&lt;&gt;-1,_xll.RtContribute(SourceAlias,P45,Fields,Q45:R45,"SCOPE:SERVER"),_xll.RtContribute(SourceAlias,"DDS_INSERT_S",$E$2:$G$2,P45:R45,"SCOPE:SERVER FTC:ALL")),"stopped")</f>
        <v>stopped</v>
      </c>
      <c r="F45" s="132" t="str">
        <f>IF(Contribute="abcd",IF($E$2&lt;&gt;-1,_xll.RtContribute(SourceAlias,S45,Fields,T45:U45,"SCOPE:SERVER"),_xll.RtContribute(SourceAlias,"DDS_INSERT_S",$E$2:$G$2,T45:U45,"SCOPE:SERVER FTC:ALL")),"stopped")</f>
        <v>stopped</v>
      </c>
      <c r="G45" s="139" t="str">
        <f>IF(Contribute="abcd",IF($E$2&lt;&gt;-1,_xll.RtContribute(SourceAlias,V45,Fields,W45:X45,"SCOPE:SERVER"),_xll.RtContribute(SourceAlias,"DDS_INSERT_S",$E$2:$G$2,V45:X45,"SCOPE:SERVER FTC:ALL")),"stopped")</f>
        <v>stopped</v>
      </c>
      <c r="H45" s="139" t="str">
        <v>stopped</v>
      </c>
      <c r="I45" s="3" t="s">
        <v>46</v>
      </c>
      <c r="J45" s="115" t="str">
        <v>USD_CURVE_1M_10Y</v>
      </c>
      <c r="K45" s="120">
        <f>IF(J45="","",'1M Pricing'!$I45*100)</f>
        <v>2.0930167266054664</v>
      </c>
      <c r="L45" s="120">
        <f t="shared" si="6"/>
        <v>2.0930167266054664</v>
      </c>
      <c r="M45" s="115" t="str">
        <v>USD_CURVE_3M_10Y</v>
      </c>
      <c r="N45" s="120">
        <f>IF(M45="","",'3M Pricing'!$I45*100)</f>
        <v>2.199999999990967</v>
      </c>
      <c r="O45" s="116">
        <f t="shared" si="7"/>
        <v>2.199999999990967</v>
      </c>
      <c r="P45" s="115" t="str">
        <v>USD_CURVE_6M_10Y</v>
      </c>
      <c r="Q45" s="116">
        <f>IF(P45="","",'6M Pricing'!$I45*100)</f>
        <v>2.2896892110819929</v>
      </c>
      <c r="R45" s="116">
        <f t="shared" si="8"/>
        <v>2.2896892110819929</v>
      </c>
      <c r="S45" s="115" t="str">
        <v>USD_CURVE_12M_10Y</v>
      </c>
      <c r="T45" s="116">
        <f>IF(S45="","",'1Y Pricing'!$I45*100)</f>
        <v>2.439339186863648</v>
      </c>
      <c r="U45" s="116">
        <f t="shared" si="9"/>
        <v>2.439339186863648</v>
      </c>
      <c r="V45" s="115" t="str">
        <v>USD_CURVE_OIS_10Y</v>
      </c>
      <c r="W45" s="120">
        <f>IF(V45="","",'ON Pricing'!$G45*100)</f>
        <v>1.9870000000028865</v>
      </c>
      <c r="X45" s="120">
        <f t="shared" si="10"/>
        <v>1.9870000000028865</v>
      </c>
      <c r="Y45" s="115"/>
      <c r="Z45" s="120" t="str">
        <f>IF(Y45="","",'STD Pricing'!$G45*100)</f>
        <v/>
      </c>
      <c r="AA45" s="120" t="str">
        <f t="shared" si="5"/>
        <v/>
      </c>
      <c r="AC45" s="143">
        <f>IF($C45=" ","",ROUND(ABS(_xll.RtGet(SourceAlias,$J45,BID)-K45),4))</f>
        <v>1E-3</v>
      </c>
      <c r="AD45" s="143">
        <f>IF($C45=" ","",ROUND(ABS(_xll.RtGet(SourceAlias,$J45,ASK)-L45),4))</f>
        <v>1E-3</v>
      </c>
      <c r="AE45" s="143">
        <f>IF($D45=" ","",ROUND(ABS(_xll.RtGet(SourceAlias,$M45,BID)-N45),4))</f>
        <v>1E-3</v>
      </c>
      <c r="AF45" s="143">
        <f>IF($D45=" ","",ROUND(ABS(_xll.RtGet(SourceAlias,$M45,ASK)-O45),4))</f>
        <v>1E-3</v>
      </c>
      <c r="AG45" s="143">
        <f>IF($E45=" ","",ROUND(ABS(_xll.RtGet(SourceAlias,$P45,BID)-Q45),4))</f>
        <v>1E-3</v>
      </c>
      <c r="AH45" s="143">
        <f>IF($E45=" ","",ROUND(ABS(_xll.RtGet(SourceAlias,$P45,ASK)-R45),4))</f>
        <v>1E-3</v>
      </c>
      <c r="AI45" s="143">
        <f>IF($F45=" ","",ROUND(ABS(_xll.RtGet(SourceAlias,$S45,BID)-T45),4))</f>
        <v>1E-3</v>
      </c>
      <c r="AJ45" s="143">
        <f>IF($F45=" ","",ROUND(ABS(_xll.RtGet(SourceAlias,$S45,ASK)-U45),4))</f>
        <v>1E-3</v>
      </c>
      <c r="AK45" s="143">
        <f>IF($G45=" ","",ROUND(ABS(_xll.RtGet(SourceAlias,$V45,BID)-W45),4))</f>
        <v>0</v>
      </c>
      <c r="AL45" s="143">
        <f>IF($G45=" ","",ROUND(ABS(_xll.RtGet(SourceAlias,$V45,ASK)-X45),4))</f>
        <v>0</v>
      </c>
      <c r="AM45" s="143"/>
      <c r="AN45" s="143"/>
    </row>
    <row r="46" spans="1:40" x14ac:dyDescent="0.2">
      <c r="A46" s="192"/>
      <c r="B46" s="49" t="s">
        <v>75</v>
      </c>
      <c r="C46" s="132" t="str">
        <f>IF(Contribute="abcd",IF($E$2&lt;&gt;-1,_xll.RtContribute(SourceAlias,J46,Fields,K46:L46,"SCOPE:SERVER"),_xll.RtContribute(SourceAlias,"DDS_INSERT_S",$E$2:$G$2,J46:L46,"SCOPE:SERVER FTC:ALL")),"stopped")</f>
        <v>stopped</v>
      </c>
      <c r="D46" s="139" t="str">
        <f>IF(Contribute="abcd",IF($E$2&lt;&gt;-1,_xll.RtContribute(SourceAlias,M46,Fields,N46:O46,"SCOPE:SERVER"),_xll.RtContribute(SourceAlias,"DDS_INSERT_S",$E$2:$G$2,M46:O46,"SCOPE:SERVER FTC:ALL")),"stopped")</f>
        <v>stopped</v>
      </c>
      <c r="E46" s="139" t="str">
        <f>IF(Contribute="abcd",IF($E$2&lt;&gt;-1,_xll.RtContribute(SourceAlias,P46,Fields,Q46:R46,"SCOPE:SERVER"),_xll.RtContribute(SourceAlias,"DDS_INSERT_S",$E$2:$G$2,P46:R46,"SCOPE:SERVER FTC:ALL")),"stopped")</f>
        <v>stopped</v>
      </c>
      <c r="F46" s="132" t="str">
        <f>IF(Contribute="abcd",IF($E$2&lt;&gt;-1,_xll.RtContribute(SourceAlias,S46,Fields,T46:U46,"SCOPE:SERVER"),_xll.RtContribute(SourceAlias,"DDS_INSERT_S",$E$2:$G$2,T46:U46,"SCOPE:SERVER FTC:ALL")),"stopped")</f>
        <v>stopped</v>
      </c>
      <c r="G46" s="139" t="str">
        <f>IF(Contribute="abcd",IF($E$2&lt;&gt;-1,_xll.RtContribute(SourceAlias,V46,Fields,W46:X46,"SCOPE:SERVER"),_xll.RtContribute(SourceAlias,"DDS_INSERT_S",$E$2:$G$2,V46:X46,"SCOPE:SERVER FTC:ALL")),"stopped")</f>
        <v>stopped</v>
      </c>
      <c r="H46" s="139" t="str">
        <v>stopped</v>
      </c>
      <c r="I46" s="3" t="s">
        <v>46</v>
      </c>
      <c r="J46" s="115" t="str">
        <v>USD_CURVE_1M_11Y</v>
      </c>
      <c r="K46" s="120">
        <f>IF(J46="","",'1M Pricing'!$I46*100)</f>
        <v>2.1669190548978428</v>
      </c>
      <c r="L46" s="120">
        <f t="shared" si="6"/>
        <v>2.1669190548978428</v>
      </c>
      <c r="M46" s="115" t="str">
        <v>USD_CURVE_3M_11Y</v>
      </c>
      <c r="N46" s="120">
        <f>IF(M46="","",'3M Pricing'!$I46*100)</f>
        <v>2.271715565469286</v>
      </c>
      <c r="O46" s="116">
        <f t="shared" si="7"/>
        <v>2.271715565469286</v>
      </c>
      <c r="P46" s="115" t="str">
        <v>USD_CURVE_6M_11Y</v>
      </c>
      <c r="Q46" s="116">
        <f>IF(P46="","",'6M Pricing'!$I46*100)</f>
        <v>2.3644469902858916</v>
      </c>
      <c r="R46" s="116">
        <f t="shared" si="8"/>
        <v>2.3644469902858916</v>
      </c>
      <c r="S46" s="115" t="str">
        <v>USD_CURVE_12M_11Y</v>
      </c>
      <c r="T46" s="116">
        <f>IF(S46="","",'1Y Pricing'!$I46*100)</f>
        <v>2.5123741834345452</v>
      </c>
      <c r="U46" s="116">
        <f t="shared" si="9"/>
        <v>2.5123741834345452</v>
      </c>
      <c r="V46" s="115" t="str">
        <v>USD_CURVE_OIS_11Y</v>
      </c>
      <c r="W46" s="120">
        <f>IF(V46="","",'ON Pricing'!$G46*100)</f>
        <v>2.0577027733054858</v>
      </c>
      <c r="X46" s="120">
        <f t="shared" si="10"/>
        <v>2.0577027733054858</v>
      </c>
      <c r="Y46" s="115"/>
      <c r="Z46" s="120" t="str">
        <f>IF(Y46="","",'STD Pricing'!$G46*100)</f>
        <v/>
      </c>
      <c r="AA46" s="120" t="str">
        <f t="shared" si="5"/>
        <v/>
      </c>
      <c r="AC46" s="143">
        <f>IF($C46=" ","",ROUND(ABS(_xll.RtGet(SourceAlias,$J46,BID)-K46),4))</f>
        <v>1.1000000000000001E-3</v>
      </c>
      <c r="AD46" s="143">
        <f>IF($C46=" ","",ROUND(ABS(_xll.RtGet(SourceAlias,$J46,ASK)-L46),4))</f>
        <v>1.1000000000000001E-3</v>
      </c>
      <c r="AE46" s="143">
        <f>IF($D46=" ","",ROUND(ABS(_xll.RtGet(SourceAlias,$M46,BID)-N46),4))</f>
        <v>1.1000000000000001E-3</v>
      </c>
      <c r="AF46" s="143">
        <f>IF($D46=" ","",ROUND(ABS(_xll.RtGet(SourceAlias,$M46,ASK)-O46),4))</f>
        <v>1.1000000000000001E-3</v>
      </c>
      <c r="AG46" s="143">
        <f>IF($E46=" ","",ROUND(ABS(_xll.RtGet(SourceAlias,$P46,BID)-Q46),4))</f>
        <v>1.1000000000000001E-3</v>
      </c>
      <c r="AH46" s="143">
        <f>IF($E46=" ","",ROUND(ABS(_xll.RtGet(SourceAlias,$P46,ASK)-R46),4))</f>
        <v>1.1000000000000001E-3</v>
      </c>
      <c r="AI46" s="143">
        <f>IF($F46=" ","",ROUND(ABS(_xll.RtGet(SourceAlias,$S46,BID)-T46),4))</f>
        <v>1.1000000000000001E-3</v>
      </c>
      <c r="AJ46" s="143">
        <f>IF($F46=" ","",ROUND(ABS(_xll.RtGet(SourceAlias,$S46,ASK)-U46),4))</f>
        <v>1.1000000000000001E-3</v>
      </c>
      <c r="AK46" s="143">
        <f>IF($G46=" ","",ROUND(ABS(_xll.RtGet(SourceAlias,$V46,BID)-W46),4))</f>
        <v>0</v>
      </c>
      <c r="AL46" s="143">
        <f>IF($G46=" ","",ROUND(ABS(_xll.RtGet(SourceAlias,$V46,ASK)-X46),4))</f>
        <v>0</v>
      </c>
      <c r="AM46" s="143"/>
      <c r="AN46" s="143"/>
    </row>
    <row r="47" spans="1:40" x14ac:dyDescent="0.2">
      <c r="A47" s="192"/>
      <c r="B47" s="49" t="s">
        <v>29</v>
      </c>
      <c r="C47" s="132" t="str">
        <f>IF(Contribute="abcd",IF($E$2&lt;&gt;-1,_xll.RtContribute(SourceAlias,J47,Fields,K47:L47,"SCOPE:SERVER"),_xll.RtContribute(SourceAlias,"DDS_INSERT_S",$E$2:$G$2,J47:L47,"SCOPE:SERVER FTC:ALL")),"stopped")</f>
        <v>stopped</v>
      </c>
      <c r="D47" s="139" t="str">
        <f>IF(Contribute="abcd",IF($E$2&lt;&gt;-1,_xll.RtContribute(SourceAlias,M47,Fields,N47:O47,"SCOPE:SERVER"),_xll.RtContribute(SourceAlias,"DDS_INSERT_S",$E$2:$G$2,M47:O47,"SCOPE:SERVER FTC:ALL")),"stopped")</f>
        <v>stopped</v>
      </c>
      <c r="E47" s="139" t="str">
        <f>IF(Contribute="abcd",IF($E$2&lt;&gt;-1,_xll.RtContribute(SourceAlias,P47,Fields,Q47:R47,"SCOPE:SERVER"),_xll.RtContribute(SourceAlias,"DDS_INSERT_S",$E$2:$G$2,P47:R47,"SCOPE:SERVER FTC:ALL")),"stopped")</f>
        <v>stopped</v>
      </c>
      <c r="F47" s="132" t="str">
        <f>IF(Contribute="abcd",IF($E$2&lt;&gt;-1,_xll.RtContribute(SourceAlias,S47,Fields,T47:U47,"SCOPE:SERVER"),_xll.RtContribute(SourceAlias,"DDS_INSERT_S",$E$2:$G$2,T47:U47,"SCOPE:SERVER FTC:ALL")),"stopped")</f>
        <v>stopped</v>
      </c>
      <c r="G47" s="139" t="str">
        <f>IF(Contribute="abcd",IF($E$2&lt;&gt;-1,_xll.RtContribute(SourceAlias,V47,Fields,W47:X47,"SCOPE:SERVER"),_xll.RtContribute(SourceAlias,"DDS_INSERT_S",$E$2:$G$2,V47:X47,"SCOPE:SERVER FTC:ALL")),"stopped")</f>
        <v>stopped</v>
      </c>
      <c r="H47" s="139" t="str">
        <v>stopped</v>
      </c>
      <c r="I47" s="3" t="s">
        <v>46</v>
      </c>
      <c r="J47" s="115" t="str">
        <v>USD_CURVE_1M_12Y</v>
      </c>
      <c r="K47" s="120">
        <f>IF(J47="","",'1M Pricing'!$I47*100)</f>
        <v>2.2299936993784528</v>
      </c>
      <c r="L47" s="120">
        <f t="shared" si="6"/>
        <v>2.2299936993784528</v>
      </c>
      <c r="M47" s="115" t="str">
        <v>USD_CURVE_3M_12Y</v>
      </c>
      <c r="N47" s="120">
        <f>IF(M47="","",'3M Pricing'!$I47*100)</f>
        <v>2.3330000000010136</v>
      </c>
      <c r="O47" s="116">
        <f t="shared" si="7"/>
        <v>2.3330000000010136</v>
      </c>
      <c r="P47" s="115" t="str">
        <v>USD_CURVE_6M_12Y</v>
      </c>
      <c r="Q47" s="116">
        <f>IF(P47="","",'6M Pricing'!$I47*100)</f>
        <v>2.4277714962700911</v>
      </c>
      <c r="R47" s="116">
        <f t="shared" si="8"/>
        <v>2.4277714962700911</v>
      </c>
      <c r="S47" s="115" t="str">
        <v>USD_CURVE_12M_12Y</v>
      </c>
      <c r="T47" s="116">
        <f>IF(S47="","",'1Y Pricing'!$I47*100)</f>
        <v>2.5749697777090974</v>
      </c>
      <c r="U47" s="116">
        <f t="shared" si="9"/>
        <v>2.5749697777090974</v>
      </c>
      <c r="V47" s="115" t="str">
        <v>USD_CURVE_OIS_12Y</v>
      </c>
      <c r="W47" s="120">
        <f>IF(V47="","",'ON Pricing'!$G47*100)</f>
        <v>2.1179999999935228</v>
      </c>
      <c r="X47" s="120">
        <f t="shared" si="10"/>
        <v>2.1179999999935228</v>
      </c>
      <c r="Y47" s="115"/>
      <c r="Z47" s="120" t="str">
        <f>IF(Y47="","",'STD Pricing'!$G47*100)</f>
        <v/>
      </c>
      <c r="AA47" s="120" t="str">
        <f t="shared" si="5"/>
        <v/>
      </c>
      <c r="AC47" s="143">
        <f>IF($C47=" ","",ROUND(ABS(_xll.RtGet(SourceAlias,$J47,BID)-K47),4))</f>
        <v>1E-3</v>
      </c>
      <c r="AD47" s="143">
        <f>IF($C47=" ","",ROUND(ABS(_xll.RtGet(SourceAlias,$J47,ASK)-L47),4))</f>
        <v>1E-3</v>
      </c>
      <c r="AE47" s="143">
        <f>IF($D47=" ","",ROUND(ABS(_xll.RtGet(SourceAlias,$M47,BID)-N47),4))</f>
        <v>1E-3</v>
      </c>
      <c r="AF47" s="143">
        <f>IF($D47=" ","",ROUND(ABS(_xll.RtGet(SourceAlias,$M47,ASK)-O47),4))</f>
        <v>1E-3</v>
      </c>
      <c r="AG47" s="143">
        <f>IF($E47=" ","",ROUND(ABS(_xll.RtGet(SourceAlias,$P47,BID)-Q47),4))</f>
        <v>1E-3</v>
      </c>
      <c r="AH47" s="143">
        <f>IF($E47=" ","",ROUND(ABS(_xll.RtGet(SourceAlias,$P47,ASK)-R47),4))</f>
        <v>1E-3</v>
      </c>
      <c r="AI47" s="143">
        <f>IF($F47=" ","",ROUND(ABS(_xll.RtGet(SourceAlias,$S47,BID)-T47),4))</f>
        <v>1E-3</v>
      </c>
      <c r="AJ47" s="143">
        <f>IF($F47=" ","",ROUND(ABS(_xll.RtGet(SourceAlias,$S47,ASK)-U47),4))</f>
        <v>1E-3</v>
      </c>
      <c r="AK47" s="143">
        <f>IF($G47=" ","",ROUND(ABS(_xll.RtGet(SourceAlias,$V47,BID)-W47),4))</f>
        <v>0</v>
      </c>
      <c r="AL47" s="143">
        <f>IF($G47=" ","",ROUND(ABS(_xll.RtGet(SourceAlias,$V47,ASK)-X47),4))</f>
        <v>0</v>
      </c>
      <c r="AM47" s="143"/>
      <c r="AN47" s="143"/>
    </row>
    <row r="48" spans="1:40" x14ac:dyDescent="0.2">
      <c r="A48" s="192"/>
      <c r="B48" s="49" t="s">
        <v>76</v>
      </c>
      <c r="C48" s="132" t="str">
        <f>IF(Contribute="abcd",IF($E$2&lt;&gt;-1,_xll.RtContribute(SourceAlias,J48,Fields,K48:L48,"SCOPE:SERVER"),_xll.RtContribute(SourceAlias,"DDS_INSERT_S",$E$2:$G$2,J48:L48,"SCOPE:SERVER FTC:ALL")),"stopped")</f>
        <v>stopped</v>
      </c>
      <c r="D48" s="139" t="str">
        <f>IF(Contribute="abcd",IF($E$2&lt;&gt;-1,_xll.RtContribute(SourceAlias,M48,Fields,N48:O48,"SCOPE:SERVER"),_xll.RtContribute(SourceAlias,"DDS_INSERT_S",$E$2:$G$2,M48:O48,"SCOPE:SERVER FTC:ALL")),"stopped")</f>
        <v>stopped</v>
      </c>
      <c r="E48" s="139" t="str">
        <f>IF(Contribute="abcd",IF($E$2&lt;&gt;-1,_xll.RtContribute(SourceAlias,P48,Fields,Q48:R48,"SCOPE:SERVER"),_xll.RtContribute(SourceAlias,"DDS_INSERT_S",$E$2:$G$2,P48:R48,"SCOPE:SERVER FTC:ALL")),"stopped")</f>
        <v>stopped</v>
      </c>
      <c r="F48" s="132" t="str">
        <f>IF(Contribute="abcd",IF($E$2&lt;&gt;-1,_xll.RtContribute(SourceAlias,S48,Fields,T48:U48,"SCOPE:SERVER"),_xll.RtContribute(SourceAlias,"DDS_INSERT_S",$E$2:$G$2,T48:U48,"SCOPE:SERVER FTC:ALL")),"stopped")</f>
        <v>stopped</v>
      </c>
      <c r="G48" s="139" t="str">
        <f>IF(Contribute="abcd",IF($E$2&lt;&gt;-1,_xll.RtContribute(SourceAlias,V48,Fields,W48:X48,"SCOPE:SERVER"),_xll.RtContribute(SourceAlias,"DDS_INSERT_S",$E$2:$G$2,V48:X48,"SCOPE:SERVER FTC:ALL")),"stopped")</f>
        <v>stopped</v>
      </c>
      <c r="H48" s="139" t="str">
        <v>stopped</v>
      </c>
      <c r="I48" s="3" t="s">
        <v>46</v>
      </c>
      <c r="J48" s="115" t="str">
        <v>USD_CURVE_1M_13Y</v>
      </c>
      <c r="K48" s="120">
        <f>IF(J48="","",'1M Pricing'!$I48*100)</f>
        <v>2.2829710874834177</v>
      </c>
      <c r="L48" s="120">
        <f t="shared" si="6"/>
        <v>2.2829710874834177</v>
      </c>
      <c r="M48" s="115" t="str">
        <v>USD_CURVE_3M_13Y</v>
      </c>
      <c r="N48" s="120">
        <f>IF(M48="","",'3M Pricing'!$I48*100)</f>
        <v>2.3844460941340198</v>
      </c>
      <c r="O48" s="116">
        <f t="shared" si="7"/>
        <v>2.3844460941340198</v>
      </c>
      <c r="P48" s="115" t="str">
        <v>USD_CURVE_6M_13Y</v>
      </c>
      <c r="Q48" s="116">
        <f>IF(P48="","",'6M Pricing'!$I48*100)</f>
        <v>2.4809347096117271</v>
      </c>
      <c r="R48" s="116">
        <f t="shared" si="8"/>
        <v>2.4809347096117271</v>
      </c>
      <c r="S48" s="115" t="str">
        <v>USD_CURVE_12M_13Y</v>
      </c>
      <c r="T48" s="116">
        <f>IF(S48="","",'1Y Pricing'!$I48*100)</f>
        <v>2.628333809889178</v>
      </c>
      <c r="U48" s="116">
        <f t="shared" si="9"/>
        <v>2.628333809889178</v>
      </c>
      <c r="V48" s="115" t="str">
        <v>USD_CURVE_OIS_13Y</v>
      </c>
      <c r="W48" s="120">
        <f>IF(V48="","",'ON Pricing'!$G48*100)</f>
        <v>2.1698543914417221</v>
      </c>
      <c r="X48" s="120">
        <f t="shared" si="10"/>
        <v>2.1698543914417221</v>
      </c>
      <c r="Y48" s="115"/>
      <c r="Z48" s="120" t="str">
        <f>IF(Y48="","",'STD Pricing'!$G48*100)</f>
        <v/>
      </c>
      <c r="AA48" s="120" t="str">
        <f t="shared" si="5"/>
        <v/>
      </c>
      <c r="AC48" s="143">
        <f>IF($C48=" ","",ROUND(ABS(_xll.RtGet(SourceAlias,$J48,BID)-K48),4))</f>
        <v>6.9999999999999999E-4</v>
      </c>
      <c r="AD48" s="143">
        <f>IF($C48=" ","",ROUND(ABS(_xll.RtGet(SourceAlias,$J48,ASK)-L48),4))</f>
        <v>6.9999999999999999E-4</v>
      </c>
      <c r="AE48" s="143">
        <f>IF($D48=" ","",ROUND(ABS(_xll.RtGet(SourceAlias,$M48,BID)-N48),4))</f>
        <v>6.9999999999999999E-4</v>
      </c>
      <c r="AF48" s="143">
        <f>IF($D48=" ","",ROUND(ABS(_xll.RtGet(SourceAlias,$M48,ASK)-O48),4))</f>
        <v>6.9999999999999999E-4</v>
      </c>
      <c r="AG48" s="143">
        <f>IF($E48=" ","",ROUND(ABS(_xll.RtGet(SourceAlias,$P48,BID)-Q48),4))</f>
        <v>6.9999999999999999E-4</v>
      </c>
      <c r="AH48" s="143">
        <f>IF($E48=" ","",ROUND(ABS(_xll.RtGet(SourceAlias,$P48,ASK)-R48),4))</f>
        <v>6.9999999999999999E-4</v>
      </c>
      <c r="AI48" s="143">
        <f>IF($F48=" ","",ROUND(ABS(_xll.RtGet(SourceAlias,$S48,BID)-T48),4))</f>
        <v>6.9999999999999999E-4</v>
      </c>
      <c r="AJ48" s="143">
        <f>IF($F48=" ","",ROUND(ABS(_xll.RtGet(SourceAlias,$S48,ASK)-U48),4))</f>
        <v>6.9999999999999999E-4</v>
      </c>
      <c r="AK48" s="143">
        <f>IF($G48=" ","",ROUND(ABS(_xll.RtGet(SourceAlias,$V48,BID)-W48),4))</f>
        <v>0</v>
      </c>
      <c r="AL48" s="143">
        <f>IF($G48=" ","",ROUND(ABS(_xll.RtGet(SourceAlias,$V48,ASK)-X48),4))</f>
        <v>0</v>
      </c>
      <c r="AM48" s="143"/>
      <c r="AN48" s="143"/>
    </row>
    <row r="49" spans="1:40" x14ac:dyDescent="0.2">
      <c r="A49" s="192"/>
      <c r="B49" s="49" t="s">
        <v>77</v>
      </c>
      <c r="C49" s="132" t="str">
        <f>IF(Contribute="abcd",IF($E$2&lt;&gt;-1,_xll.RtContribute(SourceAlias,J49,Fields,K49:L49,"SCOPE:SERVER"),_xll.RtContribute(SourceAlias,"DDS_INSERT_S",$E$2:$G$2,J49:L49,"SCOPE:SERVER FTC:ALL")),"stopped")</f>
        <v>stopped</v>
      </c>
      <c r="D49" s="139" t="str">
        <f>IF(Contribute="abcd",IF($E$2&lt;&gt;-1,_xll.RtContribute(SourceAlias,M49,Fields,N49:O49,"SCOPE:SERVER"),_xll.RtContribute(SourceAlias,"DDS_INSERT_S",$E$2:$G$2,M49:O49,"SCOPE:SERVER FTC:ALL")),"stopped")</f>
        <v>stopped</v>
      </c>
      <c r="E49" s="139" t="str">
        <f>IF(Contribute="abcd",IF($E$2&lt;&gt;-1,_xll.RtContribute(SourceAlias,P49,Fields,Q49:R49,"SCOPE:SERVER"),_xll.RtContribute(SourceAlias,"DDS_INSERT_S",$E$2:$G$2,P49:R49,"SCOPE:SERVER FTC:ALL")),"stopped")</f>
        <v>stopped</v>
      </c>
      <c r="F49" s="132" t="str">
        <f>IF(Contribute="abcd",IF($E$2&lt;&gt;-1,_xll.RtContribute(SourceAlias,S49,Fields,T49:U49,"SCOPE:SERVER"),_xll.RtContribute(SourceAlias,"DDS_INSERT_S",$E$2:$G$2,T49:U49,"SCOPE:SERVER FTC:ALL")),"stopped")</f>
        <v>stopped</v>
      </c>
      <c r="G49" s="139" t="str">
        <f>IF(Contribute="abcd",IF($E$2&lt;&gt;-1,_xll.RtContribute(SourceAlias,V49,Fields,W49:X49,"SCOPE:SERVER"),_xll.RtContribute(SourceAlias,"DDS_INSERT_S",$E$2:$G$2,V49:X49,"SCOPE:SERVER FTC:ALL")),"stopped")</f>
        <v>stopped</v>
      </c>
      <c r="H49" s="139" t="str">
        <v>stopped</v>
      </c>
      <c r="I49" s="3" t="s">
        <v>46</v>
      </c>
      <c r="J49" s="115" t="str">
        <v>USD_CURVE_1M_14Y</v>
      </c>
      <c r="K49" s="120">
        <f>IF(J49="","",'1M Pricing'!$I49*100)</f>
        <v>2.3268968788337974</v>
      </c>
      <c r="L49" s="120">
        <f t="shared" si="6"/>
        <v>2.3268968788337974</v>
      </c>
      <c r="M49" s="115" t="str">
        <v>USD_CURVE_3M_14Y</v>
      </c>
      <c r="N49" s="120">
        <f>IF(M49="","",'3M Pricing'!$I49*100)</f>
        <v>2.4273178512922677</v>
      </c>
      <c r="O49" s="116">
        <f t="shared" si="7"/>
        <v>2.4273178512922677</v>
      </c>
      <c r="P49" s="115" t="str">
        <v>USD_CURVE_6M_14Y</v>
      </c>
      <c r="Q49" s="116">
        <f>IF(P49="","",'6M Pricing'!$I49*100)</f>
        <v>2.5251898762230298</v>
      </c>
      <c r="R49" s="116">
        <f t="shared" si="8"/>
        <v>2.5251898762230298</v>
      </c>
      <c r="S49" s="115" t="str">
        <v>USD_CURVE_12M_14Y</v>
      </c>
      <c r="T49" s="116">
        <f>IF(S49="","",'1Y Pricing'!$I49*100)</f>
        <v>2.6732394598222746</v>
      </c>
      <c r="U49" s="116">
        <f t="shared" si="9"/>
        <v>2.6732394598222746</v>
      </c>
      <c r="V49" s="115" t="str">
        <v>USD_CURVE_OIS_14Y</v>
      </c>
      <c r="W49" s="120">
        <f>IF(V49="","",'ON Pricing'!$G49*100)</f>
        <v>2.2137161857748286</v>
      </c>
      <c r="X49" s="120">
        <f t="shared" si="10"/>
        <v>2.2137161857748286</v>
      </c>
      <c r="Y49" s="115"/>
      <c r="Z49" s="120" t="str">
        <f>IF(Y49="","",'STD Pricing'!$G49*100)</f>
        <v/>
      </c>
      <c r="AA49" s="120" t="str">
        <f t="shared" si="5"/>
        <v/>
      </c>
      <c r="AC49" s="143">
        <f>IF($C49=" ","",ROUND(ABS(_xll.RtGet(SourceAlias,$J49,BID)-K49),4))</f>
        <v>4.0000000000000002E-4</v>
      </c>
      <c r="AD49" s="143">
        <f>IF($C49=" ","",ROUND(ABS(_xll.RtGet(SourceAlias,$J49,ASK)-L49),4))</f>
        <v>4.0000000000000002E-4</v>
      </c>
      <c r="AE49" s="143">
        <f>IF($D49=" ","",ROUND(ABS(_xll.RtGet(SourceAlias,$M49,BID)-N49),4))</f>
        <v>2.9999999999999997E-4</v>
      </c>
      <c r="AF49" s="143">
        <f>IF($D49=" ","",ROUND(ABS(_xll.RtGet(SourceAlias,$M49,ASK)-O49),4))</f>
        <v>2.9999999999999997E-4</v>
      </c>
      <c r="AG49" s="143">
        <f>IF($E49=" ","",ROUND(ABS(_xll.RtGet(SourceAlias,$P49,BID)-Q49),4))</f>
        <v>2.9999999999999997E-4</v>
      </c>
      <c r="AH49" s="143">
        <f>IF($E49=" ","",ROUND(ABS(_xll.RtGet(SourceAlias,$P49,ASK)-R49),4))</f>
        <v>2.9999999999999997E-4</v>
      </c>
      <c r="AI49" s="143">
        <f>IF($F49=" ","",ROUND(ABS(_xll.RtGet(SourceAlias,$S49,BID)-T49),4))</f>
        <v>2.9999999999999997E-4</v>
      </c>
      <c r="AJ49" s="143">
        <f>IF($F49=" ","",ROUND(ABS(_xll.RtGet(SourceAlias,$S49,ASK)-U49),4))</f>
        <v>2.9999999999999997E-4</v>
      </c>
      <c r="AK49" s="143">
        <f>IF($G49=" ","",ROUND(ABS(_xll.RtGet(SourceAlias,$V49,BID)-W49),4))</f>
        <v>0</v>
      </c>
      <c r="AL49" s="143">
        <f>IF($G49=" ","",ROUND(ABS(_xll.RtGet(SourceAlias,$V49,ASK)-X49),4))</f>
        <v>0</v>
      </c>
      <c r="AM49" s="143"/>
      <c r="AN49" s="143"/>
    </row>
    <row r="50" spans="1:40" x14ac:dyDescent="0.2">
      <c r="A50" s="192"/>
      <c r="B50" s="49" t="s">
        <v>30</v>
      </c>
      <c r="C50" s="132" t="str">
        <f>IF(Contribute="abcd",IF($E$2&lt;&gt;-1,_xll.RtContribute(SourceAlias,J50,Fields,K50:L50,"SCOPE:SERVER"),_xll.RtContribute(SourceAlias,"DDS_INSERT_S",$E$2:$G$2,J50:L50,"SCOPE:SERVER FTC:ALL")),"stopped")</f>
        <v>stopped</v>
      </c>
      <c r="D50" s="139" t="str">
        <f>IF(Contribute="abcd",IF($E$2&lt;&gt;-1,_xll.RtContribute(SourceAlias,M50,Fields,N50:O50,"SCOPE:SERVER"),_xll.RtContribute(SourceAlias,"DDS_INSERT_S",$E$2:$G$2,M50:O50,"SCOPE:SERVER FTC:ALL")),"stopped")</f>
        <v>stopped</v>
      </c>
      <c r="E50" s="139" t="str">
        <f>IF(Contribute="abcd",IF($E$2&lt;&gt;-1,_xll.RtContribute(SourceAlias,P50,Fields,Q50:R50,"SCOPE:SERVER"),_xll.RtContribute(SourceAlias,"DDS_INSERT_S",$E$2:$G$2,P50:R50,"SCOPE:SERVER FTC:ALL")),"stopped")</f>
        <v>stopped</v>
      </c>
      <c r="F50" s="132" t="str">
        <f>IF(Contribute="abcd",IF($E$2&lt;&gt;-1,_xll.RtContribute(SourceAlias,S50,Fields,T50:U50,"SCOPE:SERVER"),_xll.RtContribute(SourceAlias,"DDS_INSERT_S",$E$2:$G$2,T50:U50,"SCOPE:SERVER FTC:ALL")),"stopped")</f>
        <v>stopped</v>
      </c>
      <c r="G50" s="139" t="str">
        <f>IF(Contribute="abcd",IF($E$2&lt;&gt;-1,_xll.RtContribute(SourceAlias,V50,Fields,W50:X50,"SCOPE:SERVER"),_xll.RtContribute(SourceAlias,"DDS_INSERT_S",$E$2:$G$2,V50:X50,"SCOPE:SERVER FTC:ALL")),"stopped")</f>
        <v>stopped</v>
      </c>
      <c r="H50" s="139" t="str">
        <v>stopped</v>
      </c>
      <c r="I50" s="3" t="s">
        <v>46</v>
      </c>
      <c r="J50" s="115" t="str">
        <v>USD_CURVE_1M_15Y</v>
      </c>
      <c r="K50" s="120">
        <f>IF(J50="","",'1M Pricing'!$I50*100)</f>
        <v>2.3639639390532565</v>
      </c>
      <c r="L50" s="120">
        <f t="shared" si="6"/>
        <v>2.3639639390532565</v>
      </c>
      <c r="M50" s="115" t="str">
        <v>USD_CURVE_3M_15Y</v>
      </c>
      <c r="N50" s="120">
        <f>IF(M50="","",'3M Pricing'!$I50*100)</f>
        <v>2.4639999999966564</v>
      </c>
      <c r="O50" s="116">
        <f t="shared" si="7"/>
        <v>2.4639999999966564</v>
      </c>
      <c r="P50" s="115" t="str">
        <v>USD_CURVE_6M_15Y</v>
      </c>
      <c r="Q50" s="116">
        <f>IF(P50="","",'6M Pricing'!$I50*100)</f>
        <v>2.5628503049778852</v>
      </c>
      <c r="R50" s="116">
        <f t="shared" si="8"/>
        <v>2.5628503049778852</v>
      </c>
      <c r="S50" s="115" t="str">
        <v>USD_CURVE_12M_15Y</v>
      </c>
      <c r="T50" s="116">
        <f>IF(S50="","",'1Y Pricing'!$I50*100)</f>
        <v>2.7111257624423288</v>
      </c>
      <c r="U50" s="116">
        <f t="shared" si="9"/>
        <v>2.7111257624423288</v>
      </c>
      <c r="V50" s="115" t="str">
        <v>USD_CURVE_OIS_15Y</v>
      </c>
      <c r="W50" s="120">
        <f>IF(V50="","",'ON Pricing'!$G50*100)</f>
        <v>2.2510000000044714</v>
      </c>
      <c r="X50" s="120">
        <f t="shared" si="10"/>
        <v>2.2510000000044714</v>
      </c>
      <c r="Y50" s="115"/>
      <c r="Z50" s="120" t="str">
        <f>IF(Y50="","",'STD Pricing'!$G50*100)</f>
        <v/>
      </c>
      <c r="AA50" s="120" t="str">
        <f t="shared" si="5"/>
        <v/>
      </c>
      <c r="AC50" s="143">
        <f>IF($C50=" ","",ROUND(ABS(_xll.RtGet(SourceAlias,$J50,BID)-K50),4))</f>
        <v>0</v>
      </c>
      <c r="AD50" s="143">
        <f>IF($C50=" ","",ROUND(ABS(_xll.RtGet(SourceAlias,$J50,ASK)-L50),4))</f>
        <v>0</v>
      </c>
      <c r="AE50" s="143">
        <f>IF($D50=" ","",ROUND(ABS(_xll.RtGet(SourceAlias,$M50,BID)-N50),4))</f>
        <v>0</v>
      </c>
      <c r="AF50" s="143">
        <f>IF($D50=" ","",ROUND(ABS(_xll.RtGet(SourceAlias,$M50,ASK)-O50),4))</f>
        <v>0</v>
      </c>
      <c r="AG50" s="143">
        <f>IF($E50=" ","",ROUND(ABS(_xll.RtGet(SourceAlias,$P50,BID)-Q50),4))</f>
        <v>0</v>
      </c>
      <c r="AH50" s="143">
        <f>IF($E50=" ","",ROUND(ABS(_xll.RtGet(SourceAlias,$P50,ASK)-R50),4))</f>
        <v>0</v>
      </c>
      <c r="AI50" s="143">
        <f>IF($F50=" ","",ROUND(ABS(_xll.RtGet(SourceAlias,$S50,BID)-T50),4))</f>
        <v>0</v>
      </c>
      <c r="AJ50" s="143">
        <f>IF($F50=" ","",ROUND(ABS(_xll.RtGet(SourceAlias,$S50,ASK)-U50),4))</f>
        <v>0</v>
      </c>
      <c r="AK50" s="143">
        <f>IF($G50=" ","",ROUND(ABS(_xll.RtGet(SourceAlias,$V50,BID)-W50),4))</f>
        <v>0</v>
      </c>
      <c r="AL50" s="143">
        <f>IF($G50=" ","",ROUND(ABS(_xll.RtGet(SourceAlias,$V50,ASK)-X50),4))</f>
        <v>0</v>
      </c>
      <c r="AM50" s="143"/>
      <c r="AN50" s="143"/>
    </row>
    <row r="51" spans="1:40" x14ac:dyDescent="0.2">
      <c r="A51" s="192"/>
      <c r="B51" s="49" t="s">
        <v>78</v>
      </c>
      <c r="C51" s="132" t="str">
        <f>IF(Contribute="abcd",IF($E$2&lt;&gt;-1,_xll.RtContribute(SourceAlias,J51,Fields,K51:L51,"SCOPE:SERVER"),_xll.RtContribute(SourceAlias,"DDS_INSERT_S",$E$2:$G$2,J51:L51,"SCOPE:SERVER FTC:ALL")),"stopped")</f>
        <v>stopped</v>
      </c>
      <c r="D51" s="139" t="str">
        <f>IF(Contribute="abcd",IF($E$2&lt;&gt;-1,_xll.RtContribute(SourceAlias,M51,Fields,N51:O51,"SCOPE:SERVER"),_xll.RtContribute(SourceAlias,"DDS_INSERT_S",$E$2:$G$2,M51:O51,"SCOPE:SERVER FTC:ALL")),"stopped")</f>
        <v>stopped</v>
      </c>
      <c r="E51" s="139" t="str">
        <f>IF(Contribute="abcd",IF($E$2&lt;&gt;-1,_xll.RtContribute(SourceAlias,P51,Fields,Q51:R51,"SCOPE:SERVER"),_xll.RtContribute(SourceAlias,"DDS_INSERT_S",$E$2:$G$2,P51:R51,"SCOPE:SERVER FTC:ALL")),"stopped")</f>
        <v>stopped</v>
      </c>
      <c r="F51" s="132" t="str">
        <f>IF(Contribute="abcd",IF($E$2&lt;&gt;-1,_xll.RtContribute(SourceAlias,S51,Fields,T51:U51,"SCOPE:SERVER"),_xll.RtContribute(SourceAlias,"DDS_INSERT_S",$E$2:$G$2,T51:U51,"SCOPE:SERVER FTC:ALL")),"stopped")</f>
        <v>stopped</v>
      </c>
      <c r="G51" s="139" t="str">
        <f>IF(Contribute="abcd",IF($E$2&lt;&gt;-1,_xll.RtContribute(SourceAlias,V51,Fields,W51:X51,"SCOPE:SERVER"),_xll.RtContribute(SourceAlias,"DDS_INSERT_S",$E$2:$G$2,V51:X51,"SCOPE:SERVER FTC:ALL")),"stopped")</f>
        <v>stopped</v>
      </c>
      <c r="H51" s="139" t="str">
        <v>stopped</v>
      </c>
      <c r="I51" s="3" t="s">
        <v>46</v>
      </c>
      <c r="J51" s="115" t="str">
        <v>USD_CURVE_1M_16Y</v>
      </c>
      <c r="K51" s="120">
        <f>IF(J51="","",'1M Pricing'!$I51*100)</f>
        <v>2.3952754354463068</v>
      </c>
      <c r="L51" s="120">
        <f t="shared" si="6"/>
        <v>2.3952754354463068</v>
      </c>
      <c r="M51" s="115" t="str">
        <v>USD_CURVE_3M_16Y</v>
      </c>
      <c r="N51" s="120">
        <f>IF(M51="","",'3M Pricing'!$I51*100)</f>
        <v>2.4956622412338292</v>
      </c>
      <c r="O51" s="116">
        <f t="shared" si="7"/>
        <v>2.4956622412338292</v>
      </c>
      <c r="P51" s="115" t="str">
        <v>USD_CURVE_6M_16Y</v>
      </c>
      <c r="Q51" s="116">
        <f>IF(P51="","",'6M Pricing'!$I51*100)</f>
        <v>2.5950580359742674</v>
      </c>
      <c r="R51" s="116">
        <f t="shared" si="8"/>
        <v>2.5950580359742674</v>
      </c>
      <c r="S51" s="115" t="str">
        <v>USD_CURVE_12M_16Y</v>
      </c>
      <c r="T51" s="116">
        <f>IF(S51="","",'1Y Pricing'!$I51*100)</f>
        <v>2.7422737555664769</v>
      </c>
      <c r="U51" s="116">
        <f t="shared" si="9"/>
        <v>2.7422737555664769</v>
      </c>
      <c r="V51" s="115" t="str">
        <v>USD_CURVE_OIS_16Y</v>
      </c>
      <c r="W51" s="120">
        <f>IF(V51="","",'ON Pricing'!$G51*100)</f>
        <v>2.282355630959084</v>
      </c>
      <c r="X51" s="120">
        <f t="shared" si="10"/>
        <v>2.282355630959084</v>
      </c>
      <c r="Y51" s="115"/>
      <c r="Z51" s="120" t="str">
        <f>IF(Y51="","",'STD Pricing'!$G51*100)</f>
        <v/>
      </c>
      <c r="AA51" s="120" t="str">
        <f t="shared" si="5"/>
        <v/>
      </c>
      <c r="AC51" s="143">
        <f>IF($C51=" ","",ROUND(ABS(_xll.RtGet(SourceAlias,$J51,BID)-K51),4))</f>
        <v>2.0000000000000001E-4</v>
      </c>
      <c r="AD51" s="143">
        <f>IF($C51=" ","",ROUND(ABS(_xll.RtGet(SourceAlias,$J51,ASK)-L51),4))</f>
        <v>2.0000000000000001E-4</v>
      </c>
      <c r="AE51" s="143">
        <f>IF($D51=" ","",ROUND(ABS(_xll.RtGet(SourceAlias,$M51,BID)-N51),4))</f>
        <v>2.0000000000000001E-4</v>
      </c>
      <c r="AF51" s="143">
        <f>IF($D51=" ","",ROUND(ABS(_xll.RtGet(SourceAlias,$M51,ASK)-O51),4))</f>
        <v>2.0000000000000001E-4</v>
      </c>
      <c r="AG51" s="143">
        <f>IF($E51=" ","",ROUND(ABS(_xll.RtGet(SourceAlias,$P51,BID)-Q51),4))</f>
        <v>2.0000000000000001E-4</v>
      </c>
      <c r="AH51" s="143">
        <f>IF($E51=" ","",ROUND(ABS(_xll.RtGet(SourceAlias,$P51,ASK)-R51),4))</f>
        <v>2.0000000000000001E-4</v>
      </c>
      <c r="AI51" s="143">
        <f>IF($F51=" ","",ROUND(ABS(_xll.RtGet(SourceAlias,$S51,BID)-T51),4))</f>
        <v>2.0000000000000001E-4</v>
      </c>
      <c r="AJ51" s="143">
        <f>IF($F51=" ","",ROUND(ABS(_xll.RtGet(SourceAlias,$S51,ASK)-U51),4))</f>
        <v>2.0000000000000001E-4</v>
      </c>
      <c r="AK51" s="143">
        <f>IF($G51=" ","",ROUND(ABS(_xll.RtGet(SourceAlias,$V51,BID)-W51),4))</f>
        <v>0</v>
      </c>
      <c r="AL51" s="143">
        <f>IF($G51=" ","",ROUND(ABS(_xll.RtGet(SourceAlias,$V51,ASK)-X51),4))</f>
        <v>0</v>
      </c>
      <c r="AM51" s="143"/>
      <c r="AN51" s="143"/>
    </row>
    <row r="52" spans="1:40" x14ac:dyDescent="0.2">
      <c r="A52" s="192"/>
      <c r="B52" s="49" t="s">
        <v>79</v>
      </c>
      <c r="C52" s="132" t="str">
        <f>IF(Contribute="abcd",IF($E$2&lt;&gt;-1,_xll.RtContribute(SourceAlias,J52,Fields,K52:L52,"SCOPE:SERVER"),_xll.RtContribute(SourceAlias,"DDS_INSERT_S",$E$2:$G$2,J52:L52,"SCOPE:SERVER FTC:ALL")),"stopped")</f>
        <v>stopped</v>
      </c>
      <c r="D52" s="139" t="str">
        <f>IF(Contribute="abcd",IF($E$2&lt;&gt;-1,_xll.RtContribute(SourceAlias,M52,Fields,N52:O52,"SCOPE:SERVER"),_xll.RtContribute(SourceAlias,"DDS_INSERT_S",$E$2:$G$2,M52:O52,"SCOPE:SERVER FTC:ALL")),"stopped")</f>
        <v>stopped</v>
      </c>
      <c r="E52" s="139" t="str">
        <f>IF(Contribute="abcd",IF($E$2&lt;&gt;-1,_xll.RtContribute(SourceAlias,P52,Fields,Q52:R52,"SCOPE:SERVER"),_xll.RtContribute(SourceAlias,"DDS_INSERT_S",$E$2:$G$2,P52:R52,"SCOPE:SERVER FTC:ALL")),"stopped")</f>
        <v>stopped</v>
      </c>
      <c r="F52" s="132" t="str">
        <f>IF(Contribute="abcd",IF($E$2&lt;&gt;-1,_xll.RtContribute(SourceAlias,S52,Fields,T52:U52,"SCOPE:SERVER"),_xll.RtContribute(SourceAlias,"DDS_INSERT_S",$E$2:$G$2,T52:U52,"SCOPE:SERVER FTC:ALL")),"stopped")</f>
        <v>stopped</v>
      </c>
      <c r="G52" s="139" t="str">
        <f>IF(Contribute="abcd",IF($E$2&lt;&gt;-1,_xll.RtContribute(SourceAlias,V52,Fields,W52:X52,"SCOPE:SERVER"),_xll.RtContribute(SourceAlias,"DDS_INSERT_S",$E$2:$G$2,V52:X52,"SCOPE:SERVER FTC:ALL")),"stopped")</f>
        <v>stopped</v>
      </c>
      <c r="H52" s="139" t="str">
        <v>stopped</v>
      </c>
      <c r="I52" s="3" t="s">
        <v>46</v>
      </c>
      <c r="J52" s="115" t="str">
        <v>USD_CURVE_1M_17Y</v>
      </c>
      <c r="K52" s="120">
        <f>IF(J52="","",'1M Pricing'!$I52*100)</f>
        <v>2.4219449166169982</v>
      </c>
      <c r="L52" s="120">
        <f t="shared" si="6"/>
        <v>2.4219449166169982</v>
      </c>
      <c r="M52" s="115" t="str">
        <v>USD_CURVE_3M_17Y</v>
      </c>
      <c r="N52" s="120">
        <f>IF(M52="","",'3M Pricing'!$I52*100)</f>
        <v>2.523159617570164</v>
      </c>
      <c r="O52" s="116">
        <f t="shared" si="7"/>
        <v>2.523159617570164</v>
      </c>
      <c r="P52" s="115" t="str">
        <v>USD_CURVE_6M_17Y</v>
      </c>
      <c r="Q52" s="116">
        <f>IF(P52="","",'6M Pricing'!$I52*100)</f>
        <v>2.6228076357978418</v>
      </c>
      <c r="R52" s="116">
        <f t="shared" si="8"/>
        <v>2.6228076357978418</v>
      </c>
      <c r="S52" s="115" t="str">
        <v>USD_CURVE_12M_17Y</v>
      </c>
      <c r="T52" s="116">
        <f>IF(S52="","",'1Y Pricing'!$I52*100)</f>
        <v>2.7679687072433139</v>
      </c>
      <c r="U52" s="116">
        <f t="shared" si="9"/>
        <v>2.7679687072433139</v>
      </c>
      <c r="V52" s="115" t="str">
        <v>USD_CURVE_OIS_17Y</v>
      </c>
      <c r="W52" s="120">
        <f>IF(V52="","",'ON Pricing'!$G52*100)</f>
        <v>2.3089441185618056</v>
      </c>
      <c r="X52" s="120">
        <f t="shared" si="10"/>
        <v>2.3089441185618056</v>
      </c>
      <c r="Y52" s="115"/>
      <c r="Z52" s="120" t="str">
        <f>IF(Y52="","",'STD Pricing'!$G52*100)</f>
        <v/>
      </c>
      <c r="AA52" s="120" t="str">
        <f t="shared" si="5"/>
        <v/>
      </c>
      <c r="AC52" s="143">
        <f>IF($C52=" ","",ROUND(ABS(_xll.RtGet(SourceAlias,$J52,BID)-K52),4))</f>
        <v>2.9999999999999997E-4</v>
      </c>
      <c r="AD52" s="143">
        <f>IF($C52=" ","",ROUND(ABS(_xll.RtGet(SourceAlias,$J52,ASK)-L52),4))</f>
        <v>2.9999999999999997E-4</v>
      </c>
      <c r="AE52" s="143">
        <f>IF($D52=" ","",ROUND(ABS(_xll.RtGet(SourceAlias,$M52,BID)-N52),4))</f>
        <v>2.9999999999999997E-4</v>
      </c>
      <c r="AF52" s="143">
        <f>IF($D52=" ","",ROUND(ABS(_xll.RtGet(SourceAlias,$M52,ASK)-O52),4))</f>
        <v>2.9999999999999997E-4</v>
      </c>
      <c r="AG52" s="143">
        <f>IF($E52=" ","",ROUND(ABS(_xll.RtGet(SourceAlias,$P52,BID)-Q52),4))</f>
        <v>2.9999999999999997E-4</v>
      </c>
      <c r="AH52" s="143">
        <f>IF($E52=" ","",ROUND(ABS(_xll.RtGet(SourceAlias,$P52,ASK)-R52),4))</f>
        <v>2.9999999999999997E-4</v>
      </c>
      <c r="AI52" s="143">
        <f>IF($F52=" ","",ROUND(ABS(_xll.RtGet(SourceAlias,$S52,BID)-T52),4))</f>
        <v>2.9999999999999997E-4</v>
      </c>
      <c r="AJ52" s="143">
        <f>IF($F52=" ","",ROUND(ABS(_xll.RtGet(SourceAlias,$S52,ASK)-U52),4))</f>
        <v>2.9999999999999997E-4</v>
      </c>
      <c r="AK52" s="143">
        <f>IF($G52=" ","",ROUND(ABS(_xll.RtGet(SourceAlias,$V52,BID)-W52),4))</f>
        <v>0</v>
      </c>
      <c r="AL52" s="143">
        <f>IF($G52=" ","",ROUND(ABS(_xll.RtGet(SourceAlias,$V52,ASK)-X52),4))</f>
        <v>0</v>
      </c>
      <c r="AM52" s="143"/>
      <c r="AN52" s="143"/>
    </row>
    <row r="53" spans="1:40" x14ac:dyDescent="0.2">
      <c r="A53" s="192"/>
      <c r="B53" s="49" t="s">
        <v>80</v>
      </c>
      <c r="C53" s="132" t="str">
        <f>IF(Contribute="abcd",IF($E$2&lt;&gt;-1,_xll.RtContribute(SourceAlias,J53,Fields,K53:L53,"SCOPE:SERVER"),_xll.RtContribute(SourceAlias,"DDS_INSERT_S",$E$2:$G$2,J53:L53,"SCOPE:SERVER FTC:ALL")),"stopped")</f>
        <v>stopped</v>
      </c>
      <c r="D53" s="139" t="str">
        <f>IF(Contribute="abcd",IF($E$2&lt;&gt;-1,_xll.RtContribute(SourceAlias,M53,Fields,N53:O53,"SCOPE:SERVER"),_xll.RtContribute(SourceAlias,"DDS_INSERT_S",$E$2:$G$2,M53:O53,"SCOPE:SERVER FTC:ALL")),"stopped")</f>
        <v>stopped</v>
      </c>
      <c r="E53" s="139" t="str">
        <f>IF(Contribute="abcd",IF($E$2&lt;&gt;-1,_xll.RtContribute(SourceAlias,P53,Fields,Q53:R53,"SCOPE:SERVER"),_xll.RtContribute(SourceAlias,"DDS_INSERT_S",$E$2:$G$2,P53:R53,"SCOPE:SERVER FTC:ALL")),"stopped")</f>
        <v>stopped</v>
      </c>
      <c r="F53" s="132" t="str">
        <f>IF(Contribute="abcd",IF($E$2&lt;&gt;-1,_xll.RtContribute(SourceAlias,S53,Fields,T53:U53,"SCOPE:SERVER"),_xll.RtContribute(SourceAlias,"DDS_INSERT_S",$E$2:$G$2,T53:U53,"SCOPE:SERVER FTC:ALL")),"stopped")</f>
        <v>stopped</v>
      </c>
      <c r="G53" s="139" t="str">
        <f>IF(Contribute="abcd",IF($E$2&lt;&gt;-1,_xll.RtContribute(SourceAlias,V53,Fields,W53:X53,"SCOPE:SERVER"),_xll.RtContribute(SourceAlias,"DDS_INSERT_S",$E$2:$G$2,V53:X53,"SCOPE:SERVER FTC:ALL")),"stopped")</f>
        <v>stopped</v>
      </c>
      <c r="H53" s="139" t="str">
        <v>stopped</v>
      </c>
      <c r="I53" s="3" t="s">
        <v>46</v>
      </c>
      <c r="J53" s="115" t="str">
        <v>USD_CURVE_1M_18Y</v>
      </c>
      <c r="K53" s="120">
        <f>IF(J53="","",'1M Pricing'!$I53*100)</f>
        <v>2.4447703502043798</v>
      </c>
      <c r="L53" s="120">
        <f t="shared" si="6"/>
        <v>2.4447703502043798</v>
      </c>
      <c r="M53" s="115" t="str">
        <v>USD_CURVE_3M_18Y</v>
      </c>
      <c r="N53" s="120">
        <f>IF(M53="","",'3M Pricing'!$I53*100)</f>
        <v>2.5470207854342402</v>
      </c>
      <c r="O53" s="116">
        <f t="shared" si="7"/>
        <v>2.5470207854342402</v>
      </c>
      <c r="P53" s="115" t="str">
        <v>USD_CURVE_6M_18Y</v>
      </c>
      <c r="Q53" s="116">
        <f>IF(P53="","",'6M Pricing'!$I53*100)</f>
        <v>2.6467686684473324</v>
      </c>
      <c r="R53" s="116">
        <f t="shared" si="8"/>
        <v>2.6467686684473324</v>
      </c>
      <c r="S53" s="115" t="str">
        <v>USD_CURVE_12M_18Y</v>
      </c>
      <c r="T53" s="116">
        <f>IF(S53="","",'1Y Pricing'!$I53*100)</f>
        <v>2.7893441826041423</v>
      </c>
      <c r="U53" s="116">
        <f t="shared" si="9"/>
        <v>2.7893441826041423</v>
      </c>
      <c r="V53" s="115" t="str">
        <v>USD_CURVE_OIS_18Y</v>
      </c>
      <c r="W53" s="120">
        <f>IF(V53="","",'ON Pricing'!$G53*100)</f>
        <v>2.3316903102877085</v>
      </c>
      <c r="X53" s="120">
        <f t="shared" si="10"/>
        <v>2.3316903102877085</v>
      </c>
      <c r="Y53" s="115"/>
      <c r="Z53" s="120" t="str">
        <f>IF(Y53="","",'STD Pricing'!$G53*100)</f>
        <v/>
      </c>
      <c r="AA53" s="120" t="str">
        <f t="shared" si="5"/>
        <v/>
      </c>
      <c r="AC53" s="143">
        <f>IF($C53=" ","",ROUND(ABS(_xll.RtGet(SourceAlias,$J53,BID)-K53),4))</f>
        <v>2.9999999999999997E-4</v>
      </c>
      <c r="AD53" s="143">
        <f>IF($C53=" ","",ROUND(ABS(_xll.RtGet(SourceAlias,$J53,ASK)-L53),4))</f>
        <v>2.9999999999999997E-4</v>
      </c>
      <c r="AE53" s="143">
        <f>IF($D53=" ","",ROUND(ABS(_xll.RtGet(SourceAlias,$M53,BID)-N53),4))</f>
        <v>2.9999999999999997E-4</v>
      </c>
      <c r="AF53" s="143">
        <f>IF($D53=" ","",ROUND(ABS(_xll.RtGet(SourceAlias,$M53,ASK)-O53),4))</f>
        <v>2.9999999999999997E-4</v>
      </c>
      <c r="AG53" s="143">
        <f>IF($E53=" ","",ROUND(ABS(_xll.RtGet(SourceAlias,$P53,BID)-Q53),4))</f>
        <v>2.9999999999999997E-4</v>
      </c>
      <c r="AH53" s="143">
        <f>IF($E53=" ","",ROUND(ABS(_xll.RtGet(SourceAlias,$P53,ASK)-R53),4))</f>
        <v>2.9999999999999997E-4</v>
      </c>
      <c r="AI53" s="143">
        <f>IF($F53=" ","",ROUND(ABS(_xll.RtGet(SourceAlias,$S53,BID)-T53),4))</f>
        <v>2.9999999999999997E-4</v>
      </c>
      <c r="AJ53" s="143">
        <f>IF($F53=" ","",ROUND(ABS(_xll.RtGet(SourceAlias,$S53,ASK)-U53),4))</f>
        <v>2.9999999999999997E-4</v>
      </c>
      <c r="AK53" s="143">
        <f>IF($G53=" ","",ROUND(ABS(_xll.RtGet(SourceAlias,$V53,BID)-W53),4))</f>
        <v>0</v>
      </c>
      <c r="AL53" s="143">
        <f>IF($G53=" ","",ROUND(ABS(_xll.RtGet(SourceAlias,$V53,ASK)-X53),4))</f>
        <v>0</v>
      </c>
      <c r="AM53" s="143"/>
      <c r="AN53" s="143"/>
    </row>
    <row r="54" spans="1:40" x14ac:dyDescent="0.2">
      <c r="A54" s="192"/>
      <c r="B54" s="49" t="s">
        <v>81</v>
      </c>
      <c r="C54" s="132" t="str">
        <f>IF(Contribute="abcd",IF($E$2&lt;&gt;-1,_xll.RtContribute(SourceAlias,J54,Fields,K54:L54,"SCOPE:SERVER"),_xll.RtContribute(SourceAlias,"DDS_INSERT_S",$E$2:$G$2,J54:L54,"SCOPE:SERVER FTC:ALL")),"stopped")</f>
        <v>stopped</v>
      </c>
      <c r="D54" s="139" t="str">
        <f>IF(Contribute="abcd",IF($E$2&lt;&gt;-1,_xll.RtContribute(SourceAlias,M54,Fields,N54:O54,"SCOPE:SERVER"),_xll.RtContribute(SourceAlias,"DDS_INSERT_S",$E$2:$G$2,M54:O54,"SCOPE:SERVER FTC:ALL")),"stopped")</f>
        <v>stopped</v>
      </c>
      <c r="E54" s="139" t="str">
        <f>IF(Contribute="abcd",IF($E$2&lt;&gt;-1,_xll.RtContribute(SourceAlias,P54,Fields,Q54:R54,"SCOPE:SERVER"),_xll.RtContribute(SourceAlias,"DDS_INSERT_S",$E$2:$G$2,P54:R54,"SCOPE:SERVER FTC:ALL")),"stopped")</f>
        <v>stopped</v>
      </c>
      <c r="F54" s="132" t="str">
        <f>IF(Contribute="abcd",IF($E$2&lt;&gt;-1,_xll.RtContribute(SourceAlias,S54,Fields,T54:U54,"SCOPE:SERVER"),_xll.RtContribute(SourceAlias,"DDS_INSERT_S",$E$2:$G$2,T54:U54,"SCOPE:SERVER FTC:ALL")),"stopped")</f>
        <v>stopped</v>
      </c>
      <c r="G54" s="139" t="str">
        <f>IF(Contribute="abcd",IF($E$2&lt;&gt;-1,_xll.RtContribute(SourceAlias,V54,Fields,W54:X54,"SCOPE:SERVER"),_xll.RtContribute(SourceAlias,"DDS_INSERT_S",$E$2:$G$2,V54:X54,"SCOPE:SERVER FTC:ALL")),"stopped")</f>
        <v>stopped</v>
      </c>
      <c r="H54" s="139" t="str">
        <v>stopped</v>
      </c>
      <c r="I54" s="3" t="s">
        <v>46</v>
      </c>
      <c r="J54" s="115" t="str">
        <v>USD_CURVE_1M_19Y</v>
      </c>
      <c r="K54" s="120">
        <f>IF(J54="","",'1M Pricing'!$I54*100)</f>
        <v>2.464168846144057</v>
      </c>
      <c r="L54" s="120">
        <f t="shared" si="6"/>
        <v>2.464168846144057</v>
      </c>
      <c r="M54" s="115" t="str">
        <v>USD_CURVE_3M_19Y</v>
      </c>
      <c r="N54" s="120">
        <f>IF(M54="","",'3M Pricing'!$I54*100)</f>
        <v>2.567441861703577</v>
      </c>
      <c r="O54" s="116">
        <f t="shared" si="7"/>
        <v>2.567441861703577</v>
      </c>
      <c r="P54" s="115" t="str">
        <v>USD_CURVE_6M_19Y</v>
      </c>
      <c r="Q54" s="116">
        <f>IF(P54="","",'6M Pricing'!$I54*100)</f>
        <v>2.6672447893631173</v>
      </c>
      <c r="R54" s="116">
        <f t="shared" si="8"/>
        <v>2.6672447893631173</v>
      </c>
      <c r="S54" s="115" t="str">
        <v>USD_CURVE_12M_19Y</v>
      </c>
      <c r="T54" s="116">
        <f>IF(S54="","",'1Y Pricing'!$I54*100)</f>
        <v>2.8070922482838383</v>
      </c>
      <c r="U54" s="116">
        <f t="shared" si="9"/>
        <v>2.8070922482838383</v>
      </c>
      <c r="V54" s="115" t="str">
        <v>USD_CURVE_OIS_19Y</v>
      </c>
      <c r="W54" s="120">
        <f>IF(V54="","",'ON Pricing'!$G54*100)</f>
        <v>2.3511093027330001</v>
      </c>
      <c r="X54" s="120">
        <f t="shared" si="10"/>
        <v>2.3511093027330001</v>
      </c>
      <c r="Y54" s="115"/>
      <c r="Z54" s="120" t="str">
        <f>IF(Y54="","",'STD Pricing'!$G54*100)</f>
        <v/>
      </c>
      <c r="AA54" s="120" t="str">
        <f t="shared" si="5"/>
        <v/>
      </c>
      <c r="AC54" s="143">
        <f>IF($C54=" ","",ROUND(ABS(_xll.RtGet(SourceAlias,$J54,BID)-K54),4))</f>
        <v>2.0000000000000001E-4</v>
      </c>
      <c r="AD54" s="143">
        <f>IF($C54=" ","",ROUND(ABS(_xll.RtGet(SourceAlias,$J54,ASK)-L54),4))</f>
        <v>2.0000000000000001E-4</v>
      </c>
      <c r="AE54" s="143">
        <f>IF($D54=" ","",ROUND(ABS(_xll.RtGet(SourceAlias,$M54,BID)-N54),4))</f>
        <v>2.0000000000000001E-4</v>
      </c>
      <c r="AF54" s="143">
        <f>IF($D54=" ","",ROUND(ABS(_xll.RtGet(SourceAlias,$M54,ASK)-O54),4))</f>
        <v>2.0000000000000001E-4</v>
      </c>
      <c r="AG54" s="143">
        <f>IF($E54=" ","",ROUND(ABS(_xll.RtGet(SourceAlias,$P54,BID)-Q54),4))</f>
        <v>2.0000000000000001E-4</v>
      </c>
      <c r="AH54" s="143">
        <f>IF($E54=" ","",ROUND(ABS(_xll.RtGet(SourceAlias,$P54,ASK)-R54),4))</f>
        <v>2.0000000000000001E-4</v>
      </c>
      <c r="AI54" s="143">
        <f>IF($F54=" ","",ROUND(ABS(_xll.RtGet(SourceAlias,$S54,BID)-T54),4))</f>
        <v>2.0000000000000001E-4</v>
      </c>
      <c r="AJ54" s="143">
        <f>IF($F54=" ","",ROUND(ABS(_xll.RtGet(SourceAlias,$S54,ASK)-U54),4))</f>
        <v>2.0000000000000001E-4</v>
      </c>
      <c r="AK54" s="143">
        <f>IF($G54=" ","",ROUND(ABS(_xll.RtGet(SourceAlias,$V54,BID)-W54),4))</f>
        <v>0</v>
      </c>
      <c r="AL54" s="143">
        <f>IF($G54=" ","",ROUND(ABS(_xll.RtGet(SourceAlias,$V54,ASK)-X54),4))</f>
        <v>0</v>
      </c>
      <c r="AM54" s="143"/>
      <c r="AN54" s="143"/>
    </row>
    <row r="55" spans="1:40" x14ac:dyDescent="0.2">
      <c r="A55" s="192"/>
      <c r="B55" s="49" t="s">
        <v>82</v>
      </c>
      <c r="C55" s="132" t="str">
        <f>IF(Contribute="abcd",IF($E$2&lt;&gt;-1,_xll.RtContribute(SourceAlias,J55,Fields,K55:L55,"SCOPE:SERVER"),_xll.RtContribute(SourceAlias,"DDS_INSERT_S",$E$2:$G$2,J55:L55,"SCOPE:SERVER FTC:ALL")),"stopped")</f>
        <v>stopped</v>
      </c>
      <c r="D55" s="139" t="str">
        <f>IF(Contribute="abcd",IF($E$2&lt;&gt;-1,_xll.RtContribute(SourceAlias,M55,Fields,N55:O55,"SCOPE:SERVER"),_xll.RtContribute(SourceAlias,"DDS_INSERT_S",$E$2:$G$2,M55:O55,"SCOPE:SERVER FTC:ALL")),"stopped")</f>
        <v>stopped</v>
      </c>
      <c r="E55" s="132" t="str">
        <f>IF(Contribute="abcd",IF($E$2&lt;&gt;-1,_xll.RtContribute(SourceAlias,P55,Fields,Q55:R55,"SCOPE:SERVER"),_xll.RtContribute(SourceAlias,"DDS_INSERT_S",$E$2:$G$2,P55:R55,"SCOPE:SERVER FTC:ALL")),"stopped")</f>
        <v>stopped</v>
      </c>
      <c r="F55" s="132" t="str">
        <f>IF(Contribute="abcd",IF($E$2&lt;&gt;-1,_xll.RtContribute(SourceAlias,S55,Fields,T55:U55,"SCOPE:SERVER"),_xll.RtContribute(SourceAlias,"DDS_INSERT_S",$E$2:$G$2,T55:U55,"SCOPE:SERVER FTC:ALL")),"stopped")</f>
        <v>stopped</v>
      </c>
      <c r="G55" s="139" t="str">
        <f>IF(Contribute="abcd",IF($E$2&lt;&gt;-1,_xll.RtContribute(SourceAlias,V55,Fields,W55:X55,"SCOPE:SERVER"),_xll.RtContribute(SourceAlias,"DDS_INSERT_S",$E$2:$G$2,V55:X55,"SCOPE:SERVER FTC:ALL")),"stopped")</f>
        <v>stopped</v>
      </c>
      <c r="H55" s="139" t="str">
        <v>stopped</v>
      </c>
      <c r="I55" s="3" t="s">
        <v>46</v>
      </c>
      <c r="J55" s="115" t="str">
        <v>USD_CURVE_1M_20Y</v>
      </c>
      <c r="K55" s="120">
        <f>IF(J55="","",'1M Pricing'!$I55*100)</f>
        <v>2.4808673996292758</v>
      </c>
      <c r="L55" s="120">
        <f t="shared" si="6"/>
        <v>2.4808673996292758</v>
      </c>
      <c r="M55" s="115" t="str">
        <v>USD_CURVE_3M_20Y</v>
      </c>
      <c r="N55" s="120">
        <f>IF(M55="","",'3M Pricing'!$I55*100)</f>
        <v>2.5850000000038129</v>
      </c>
      <c r="O55" s="116">
        <f t="shared" si="7"/>
        <v>2.5850000000038129</v>
      </c>
      <c r="P55" s="115" t="str">
        <v>USD_CURVE_6M_20Y</v>
      </c>
      <c r="Q55" s="116">
        <f>IF(P55="","",'6M Pricing'!$I55*100)</f>
        <v>2.6848992419665971</v>
      </c>
      <c r="R55" s="116">
        <f t="shared" si="8"/>
        <v>2.6848992419665971</v>
      </c>
      <c r="S55" s="115" t="str">
        <v>USD_CURVE_12M_20Y</v>
      </c>
      <c r="T55" s="116">
        <f>IF(S55="","",'1Y Pricing'!$I55*100)</f>
        <v>2.8221345642684241</v>
      </c>
      <c r="U55" s="116">
        <f t="shared" si="9"/>
        <v>2.8221345642684241</v>
      </c>
      <c r="V55" s="115" t="str">
        <v>USD_CURVE_OIS_20Y</v>
      </c>
      <c r="W55" s="120">
        <f>IF(V55="","",'ON Pricing'!$G55*100)</f>
        <v>2.3679999999998333</v>
      </c>
      <c r="X55" s="120">
        <f t="shared" si="10"/>
        <v>2.3679999999998333</v>
      </c>
      <c r="Y55" s="115"/>
      <c r="Z55" s="120" t="str">
        <f>IF(Y55="","",'STD Pricing'!$G55*100)</f>
        <v/>
      </c>
      <c r="AA55" s="120" t="str">
        <f t="shared" si="5"/>
        <v/>
      </c>
      <c r="AC55" s="143">
        <f>IF($C55=" ","",ROUND(ABS(_xll.RtGet(SourceAlias,$J55,BID)-K55),4))</f>
        <v>0</v>
      </c>
      <c r="AD55" s="143">
        <f>IF($C55=" ","",ROUND(ABS(_xll.RtGet(SourceAlias,$J55,ASK)-L55),4))</f>
        <v>0</v>
      </c>
      <c r="AE55" s="143">
        <f>IF($D55=" ","",ROUND(ABS(_xll.RtGet(SourceAlias,$M55,BID)-N55),4))</f>
        <v>0</v>
      </c>
      <c r="AF55" s="143">
        <f>IF($D55=" ","",ROUND(ABS(_xll.RtGet(SourceAlias,$M55,ASK)-O55),4))</f>
        <v>0</v>
      </c>
      <c r="AG55" s="143">
        <f>IF($E55=" ","",ROUND(ABS(_xll.RtGet(SourceAlias,$P55,BID)-Q55),4))</f>
        <v>0</v>
      </c>
      <c r="AH55" s="143">
        <f>IF($E55=" ","",ROUND(ABS(_xll.RtGet(SourceAlias,$P55,ASK)-R55),4))</f>
        <v>0</v>
      </c>
      <c r="AI55" s="143">
        <f>IF($F55=" ","",ROUND(ABS(_xll.RtGet(SourceAlias,$S55,BID)-T55),4))</f>
        <v>0</v>
      </c>
      <c r="AJ55" s="143">
        <f>IF($F55=" ","",ROUND(ABS(_xll.RtGet(SourceAlias,$S55,ASK)-U55),4))</f>
        <v>0</v>
      </c>
      <c r="AK55" s="143">
        <f>IF($G55=" ","",ROUND(ABS(_xll.RtGet(SourceAlias,$V55,BID)-W55),4))</f>
        <v>0</v>
      </c>
      <c r="AL55" s="143">
        <f>IF($G55=" ","",ROUND(ABS(_xll.RtGet(SourceAlias,$V55,ASK)-X55),4))</f>
        <v>0</v>
      </c>
      <c r="AM55" s="143"/>
      <c r="AN55" s="143"/>
    </row>
    <row r="56" spans="1:40" x14ac:dyDescent="0.2">
      <c r="A56" s="192"/>
      <c r="B56" s="49" t="s">
        <v>83</v>
      </c>
      <c r="C56" s="132" t="str">
        <f>IF(Contribute="abcd",IF($E$2&lt;&gt;-1,_xll.RtContribute(SourceAlias,J56,Fields,K56:L56,"SCOPE:SERVER"),_xll.RtContribute(SourceAlias,"DDS_INSERT_S",$E$2:$G$2,J56:L56,"SCOPE:SERVER FTC:ALL")),"stopped")</f>
        <v>stopped</v>
      </c>
      <c r="D56" s="139" t="str">
        <f>IF(Contribute="abcd",IF($E$2&lt;&gt;-1,_xll.RtContribute(SourceAlias,M56,Fields,N56:O56,"SCOPE:SERVER"),_xll.RtContribute(SourceAlias,"DDS_INSERT_S",$E$2:$G$2,M56:O56,"SCOPE:SERVER FTC:ALL")),"stopped")</f>
        <v>stopped</v>
      </c>
      <c r="E56" s="132" t="str">
        <f>IF(Contribute="abcd",IF($E$2&lt;&gt;-1,_xll.RtContribute(SourceAlias,P56,Fields,Q56:R56,"SCOPE:SERVER"),_xll.RtContribute(SourceAlias,"DDS_INSERT_S",$E$2:$G$2,P56:R56,"SCOPE:SERVER FTC:ALL")),"stopped")</f>
        <v>stopped</v>
      </c>
      <c r="F56" s="132" t="str">
        <f>IF(Contribute="abcd",IF($E$2&lt;&gt;-1,_xll.RtContribute(SourceAlias,S56,Fields,T56:U56,"SCOPE:SERVER"),_xll.RtContribute(SourceAlias,"DDS_INSERT_S",$E$2:$G$2,T56:U56,"SCOPE:SERVER FTC:ALL")),"stopped")</f>
        <v>stopped</v>
      </c>
      <c r="G56" s="139" t="str">
        <f>IF(Contribute="abcd",IF($E$2&lt;&gt;-1,_xll.RtContribute(SourceAlias,V56,Fields,W56:X56,"SCOPE:SERVER"),_xll.RtContribute(SourceAlias,"DDS_INSERT_S",$E$2:$G$2,V56:X56,"SCOPE:SERVER FTC:ALL")),"stopped")</f>
        <v>stopped</v>
      </c>
      <c r="H56" s="139" t="str">
        <v>stopped</v>
      </c>
      <c r="I56" s="3" t="s">
        <v>46</v>
      </c>
      <c r="J56" s="115" t="str">
        <v>USD_CURVE_1M_21Y</v>
      </c>
      <c r="K56" s="120">
        <f>IF(J56="","",'1M Pricing'!$I56*100)</f>
        <v>2.4953763287108051</v>
      </c>
      <c r="L56" s="120">
        <f t="shared" si="6"/>
        <v>2.4953763287108051</v>
      </c>
      <c r="M56" s="115" t="str">
        <v>USD_CURVE_3M_21Y</v>
      </c>
      <c r="N56" s="120">
        <f>IF(M56="","",'3M Pricing'!$I56*100)</f>
        <v>2.6001214339035403</v>
      </c>
      <c r="O56" s="116">
        <f t="shared" si="7"/>
        <v>2.6001214339035403</v>
      </c>
      <c r="P56" s="115" t="str">
        <v>USD_CURVE_6M_21Y</v>
      </c>
      <c r="Q56" s="116">
        <f>IF(P56="","",'6M Pricing'!$I56*100)</f>
        <v>2.7002064410123037</v>
      </c>
      <c r="R56" s="116">
        <f t="shared" si="8"/>
        <v>2.7002064410123037</v>
      </c>
      <c r="S56" s="115" t="str">
        <v>USD_CURVE_12M_21Y</v>
      </c>
      <c r="T56" s="116">
        <f>IF(S56="","",'1Y Pricing'!$I56*100)</f>
        <v>2.8351300455558244</v>
      </c>
      <c r="U56" s="116">
        <f t="shared" si="9"/>
        <v>2.8351300455558244</v>
      </c>
      <c r="V56" s="115" t="str">
        <v>USD_CURVE_OIS_21Y</v>
      </c>
      <c r="W56" s="120">
        <f>IF(V56="","",'ON Pricing'!$G56*100)</f>
        <v>2.3829112072377949</v>
      </c>
      <c r="X56" s="120">
        <f t="shared" si="10"/>
        <v>2.3829112072377949</v>
      </c>
      <c r="Y56" s="115"/>
      <c r="Z56" s="120" t="str">
        <f>IF(Y56="","",'STD Pricing'!$G56*100)</f>
        <v/>
      </c>
      <c r="AA56" s="120" t="str">
        <f t="shared" si="5"/>
        <v/>
      </c>
      <c r="AC56" s="143">
        <f>IF($C56=" ","",ROUND(ABS(_xll.RtGet(SourceAlias,$J56,BID)-K56),4))</f>
        <v>2.9999999999999997E-4</v>
      </c>
      <c r="AD56" s="143">
        <f>IF($C56=" ","",ROUND(ABS(_xll.RtGet(SourceAlias,$J56,ASK)-L56),4))</f>
        <v>2.9999999999999997E-4</v>
      </c>
      <c r="AE56" s="143">
        <f>IF($D56=" ","",ROUND(ABS(_xll.RtGet(SourceAlias,$M56,BID)-N56),4))</f>
        <v>2.9999999999999997E-4</v>
      </c>
      <c r="AF56" s="143">
        <f>IF($D56=" ","",ROUND(ABS(_xll.RtGet(SourceAlias,$M56,ASK)-O56),4))</f>
        <v>2.9999999999999997E-4</v>
      </c>
      <c r="AG56" s="143">
        <f>IF($E56=" ","",ROUND(ABS(_xll.RtGet(SourceAlias,$P56,BID)-Q56),4))</f>
        <v>2.9999999999999997E-4</v>
      </c>
      <c r="AH56" s="143">
        <f>IF($E56=" ","",ROUND(ABS(_xll.RtGet(SourceAlias,$P56,ASK)-R56),4))</f>
        <v>2.9999999999999997E-4</v>
      </c>
      <c r="AI56" s="143">
        <f>IF($F56=" ","",ROUND(ABS(_xll.RtGet(SourceAlias,$S56,BID)-T56),4))</f>
        <v>2.9999999999999997E-4</v>
      </c>
      <c r="AJ56" s="143">
        <f>IF($F56=" ","",ROUND(ABS(_xll.RtGet(SourceAlias,$S56,ASK)-U56),4))</f>
        <v>2.9999999999999997E-4</v>
      </c>
      <c r="AK56" s="143">
        <f>IF($G56=" ","",ROUND(ABS(_xll.RtGet(SourceAlias,$V56,BID)-W56),4))</f>
        <v>0</v>
      </c>
      <c r="AL56" s="143">
        <f>IF($G56=" ","",ROUND(ABS(_xll.RtGet(SourceAlias,$V56,ASK)-X56),4))</f>
        <v>0</v>
      </c>
      <c r="AM56" s="143"/>
      <c r="AN56" s="143"/>
    </row>
    <row r="57" spans="1:40" x14ac:dyDescent="0.2">
      <c r="A57" s="192"/>
      <c r="B57" s="49" t="s">
        <v>84</v>
      </c>
      <c r="C57" s="132" t="str">
        <f>IF(Contribute="abcd",IF($E$2&lt;&gt;-1,_xll.RtContribute(SourceAlias,J57,Fields,K57:L57,"SCOPE:SERVER"),_xll.RtContribute(SourceAlias,"DDS_INSERT_S",$E$2:$G$2,J57:L57,"SCOPE:SERVER FTC:ALL")),"stopped")</f>
        <v>stopped</v>
      </c>
      <c r="D57" s="139" t="str">
        <f>IF(Contribute="abcd",IF($E$2&lt;&gt;-1,_xll.RtContribute(SourceAlias,M57,Fields,N57:O57,"SCOPE:SERVER"),_xll.RtContribute(SourceAlias,"DDS_INSERT_S",$E$2:$G$2,M57:O57,"SCOPE:SERVER FTC:ALL")),"stopped")</f>
        <v>stopped</v>
      </c>
      <c r="E57" s="132" t="str">
        <f>IF(Contribute="abcd",IF($E$2&lt;&gt;-1,_xll.RtContribute(SourceAlias,P57,Fields,Q57:R57,"SCOPE:SERVER"),_xll.RtContribute(SourceAlias,"DDS_INSERT_S",$E$2:$G$2,P57:R57,"SCOPE:SERVER FTC:ALL")),"stopped")</f>
        <v>stopped</v>
      </c>
      <c r="F57" s="132" t="str">
        <f>IF(Contribute="abcd",IF($E$2&lt;&gt;-1,_xll.RtContribute(SourceAlias,S57,Fields,T57:U57,"SCOPE:SERVER"),_xll.RtContribute(SourceAlias,"DDS_INSERT_S",$E$2:$G$2,T57:U57,"SCOPE:SERVER FTC:ALL")),"stopped")</f>
        <v>stopped</v>
      </c>
      <c r="G57" s="139" t="str">
        <f>IF(Contribute="abcd",IF($E$2&lt;&gt;-1,_xll.RtContribute(SourceAlias,V57,Fields,W57:X57,"SCOPE:SERVER"),_xll.RtContribute(SourceAlias,"DDS_INSERT_S",$E$2:$G$2,V57:X57,"SCOPE:SERVER FTC:ALL")),"stopped")</f>
        <v>stopped</v>
      </c>
      <c r="H57" s="139" t="str">
        <v>stopped</v>
      </c>
      <c r="I57" s="3" t="s">
        <v>46</v>
      </c>
      <c r="J57" s="115" t="str">
        <v>USD_CURVE_1M_22Y</v>
      </c>
      <c r="K57" s="120">
        <f>IF(J57="","",'1M Pricing'!$I57*100)</f>
        <v>2.5079718675977669</v>
      </c>
      <c r="L57" s="120">
        <f t="shared" si="6"/>
        <v>2.5079718675977669</v>
      </c>
      <c r="M57" s="115" t="str">
        <v>USD_CURVE_3M_22Y</v>
      </c>
      <c r="N57" s="120">
        <f>IF(M57="","",'3M Pricing'!$I57*100)</f>
        <v>2.6131457112182659</v>
      </c>
      <c r="O57" s="116">
        <f t="shared" si="7"/>
        <v>2.6131457112182659</v>
      </c>
      <c r="P57" s="115" t="str">
        <v>USD_CURVE_6M_22Y</v>
      </c>
      <c r="Q57" s="116">
        <f>IF(P57="","",'6M Pricing'!$I57*100)</f>
        <v>2.7134678849764748</v>
      </c>
      <c r="R57" s="116">
        <f t="shared" si="8"/>
        <v>2.7134678849764748</v>
      </c>
      <c r="S57" s="115" t="str">
        <v>USD_CURVE_12M_22Y</v>
      </c>
      <c r="T57" s="116">
        <f>IF(S57="","",'1Y Pricing'!$I57*100)</f>
        <v>2.8464746517175725</v>
      </c>
      <c r="U57" s="116">
        <f t="shared" si="9"/>
        <v>2.8464746517175725</v>
      </c>
      <c r="V57" s="115" t="str">
        <v>USD_CURVE_OIS_22Y</v>
      </c>
      <c r="W57" s="120">
        <f>IF(V57="","",'ON Pricing'!$G57*100)</f>
        <v>2.396066638209247</v>
      </c>
      <c r="X57" s="120">
        <f t="shared" si="10"/>
        <v>2.396066638209247</v>
      </c>
      <c r="Y57" s="115"/>
      <c r="Z57" s="120" t="str">
        <f>IF(Y57="","",'STD Pricing'!$G57*100)</f>
        <v/>
      </c>
      <c r="AA57" s="120" t="str">
        <f t="shared" si="5"/>
        <v/>
      </c>
      <c r="AC57" s="143">
        <f>IF($C57=" ","",ROUND(ABS(_xll.RtGet(SourceAlias,$J57,BID)-K57),4))</f>
        <v>5.9999999999999995E-4</v>
      </c>
      <c r="AD57" s="143">
        <f>IF($C57=" ","",ROUND(ABS(_xll.RtGet(SourceAlias,$J57,ASK)-L57),4))</f>
        <v>5.9999999999999995E-4</v>
      </c>
      <c r="AE57" s="143">
        <f>IF($D57=" ","",ROUND(ABS(_xll.RtGet(SourceAlias,$M57,BID)-N57),4))</f>
        <v>5.9999999999999995E-4</v>
      </c>
      <c r="AF57" s="143">
        <f>IF($D57=" ","",ROUND(ABS(_xll.RtGet(SourceAlias,$M57,ASK)-O57),4))</f>
        <v>5.9999999999999995E-4</v>
      </c>
      <c r="AG57" s="143">
        <f>IF($E57=" ","",ROUND(ABS(_xll.RtGet(SourceAlias,$P57,BID)-Q57),4))</f>
        <v>5.9999999999999995E-4</v>
      </c>
      <c r="AH57" s="143">
        <f>IF($E57=" ","",ROUND(ABS(_xll.RtGet(SourceAlias,$P57,ASK)-R57),4))</f>
        <v>5.9999999999999995E-4</v>
      </c>
      <c r="AI57" s="143">
        <f>IF($F57=" ","",ROUND(ABS(_xll.RtGet(SourceAlias,$S57,BID)-T57),4))</f>
        <v>5.9999999999999995E-4</v>
      </c>
      <c r="AJ57" s="143">
        <f>IF($F57=" ","",ROUND(ABS(_xll.RtGet(SourceAlias,$S57,ASK)-U57),4))</f>
        <v>5.9999999999999995E-4</v>
      </c>
      <c r="AK57" s="143">
        <f>IF($G57=" ","",ROUND(ABS(_xll.RtGet(SourceAlias,$V57,BID)-W57),4))</f>
        <v>0</v>
      </c>
      <c r="AL57" s="143">
        <f>IF($G57=" ","",ROUND(ABS(_xll.RtGet(SourceAlias,$V57,ASK)-X57),4))</f>
        <v>0</v>
      </c>
      <c r="AM57" s="143"/>
      <c r="AN57" s="143"/>
    </row>
    <row r="58" spans="1:40" x14ac:dyDescent="0.2">
      <c r="A58" s="192"/>
      <c r="B58" s="49" t="s">
        <v>85</v>
      </c>
      <c r="C58" s="132" t="str">
        <f>IF(Contribute="abcd",IF($E$2&lt;&gt;-1,_xll.RtContribute(SourceAlias,J58,Fields,K58:L58,"SCOPE:SERVER"),_xll.RtContribute(SourceAlias,"DDS_INSERT_S",$E$2:$G$2,J58:L58,"SCOPE:SERVER FTC:ALL")),"stopped")</f>
        <v>stopped</v>
      </c>
      <c r="D58" s="139" t="str">
        <f>IF(Contribute="abcd",IF($E$2&lt;&gt;-1,_xll.RtContribute(SourceAlias,M58,Fields,N58:O58,"SCOPE:SERVER"),_xll.RtContribute(SourceAlias,"DDS_INSERT_S",$E$2:$G$2,M58:O58,"SCOPE:SERVER FTC:ALL")),"stopped")</f>
        <v>stopped</v>
      </c>
      <c r="E58" s="132" t="str">
        <f>IF(Contribute="abcd",IF($E$2&lt;&gt;-1,_xll.RtContribute(SourceAlias,P58,Fields,Q58:R58,"SCOPE:SERVER"),_xll.RtContribute(SourceAlias,"DDS_INSERT_S",$E$2:$G$2,P58:R58,"SCOPE:SERVER FTC:ALL")),"stopped")</f>
        <v>stopped</v>
      </c>
      <c r="F58" s="132" t="str">
        <f>IF(Contribute="abcd",IF($E$2&lt;&gt;-1,_xll.RtContribute(SourceAlias,S58,Fields,T58:U58,"SCOPE:SERVER"),_xll.RtContribute(SourceAlias,"DDS_INSERT_S",$E$2:$G$2,T58:U58,"SCOPE:SERVER FTC:ALL")),"stopped")</f>
        <v>stopped</v>
      </c>
      <c r="G58" s="139" t="str">
        <f>IF(Contribute="abcd",IF($E$2&lt;&gt;-1,_xll.RtContribute(SourceAlias,V58,Fields,W58:X58,"SCOPE:SERVER"),_xll.RtContribute(SourceAlias,"DDS_INSERT_S",$E$2:$G$2,V58:X58,"SCOPE:SERVER FTC:ALL")),"stopped")</f>
        <v>stopped</v>
      </c>
      <c r="H58" s="139" t="str">
        <v>stopped</v>
      </c>
      <c r="I58" s="3" t="s">
        <v>46</v>
      </c>
      <c r="J58" s="115" t="str">
        <v>USD_CURVE_1M_23Y</v>
      </c>
      <c r="K58" s="120">
        <f>IF(J58="","",'1M Pricing'!$I58*100)</f>
        <v>2.5190537191246318</v>
      </c>
      <c r="L58" s="120">
        <f t="shared" si="6"/>
        <v>2.5190537191246318</v>
      </c>
      <c r="M58" s="115" t="str">
        <v>USD_CURVE_3M_23Y</v>
      </c>
      <c r="N58" s="120">
        <f>IF(M58="","",'3M Pricing'!$I58*100)</f>
        <v>2.6245639958868772</v>
      </c>
      <c r="O58" s="116">
        <f t="shared" si="7"/>
        <v>2.6245639958868772</v>
      </c>
      <c r="P58" s="115" t="str">
        <v>USD_CURVE_6M_23Y</v>
      </c>
      <c r="Q58" s="116">
        <f>IF(P58="","",'6M Pricing'!$I58*100)</f>
        <v>2.7251294054528752</v>
      </c>
      <c r="R58" s="116">
        <f t="shared" si="8"/>
        <v>2.7251294054528752</v>
      </c>
      <c r="S58" s="115" t="str">
        <v>USD_CURVE_12M_23Y</v>
      </c>
      <c r="T58" s="116">
        <f>IF(S58="","",'1Y Pricing'!$I58*100)</f>
        <v>2.8566484455217687</v>
      </c>
      <c r="U58" s="116">
        <f t="shared" si="9"/>
        <v>2.8566484455217687</v>
      </c>
      <c r="V58" s="115" t="str">
        <v>USD_CURVE_OIS_23Y</v>
      </c>
      <c r="W58" s="120">
        <f>IF(V58="","",'ON Pricing'!$G58*100)</f>
        <v>2.4078070565081169</v>
      </c>
      <c r="X58" s="120">
        <f t="shared" si="10"/>
        <v>2.4078070565081169</v>
      </c>
      <c r="Y58" s="115"/>
      <c r="Z58" s="120" t="str">
        <f>IF(Y58="","",'STD Pricing'!$G58*100)</f>
        <v/>
      </c>
      <c r="AA58" s="120" t="str">
        <f t="shared" si="5"/>
        <v/>
      </c>
      <c r="AC58" s="143">
        <f>IF($C58=" ","",ROUND(ABS(_xll.RtGet(SourceAlias,$J58,BID)-K58),4))</f>
        <v>8.0000000000000004E-4</v>
      </c>
      <c r="AD58" s="143">
        <f>IF($C58=" ","",ROUND(ABS(_xll.RtGet(SourceAlias,$J58,ASK)-L58),4))</f>
        <v>8.0000000000000004E-4</v>
      </c>
      <c r="AE58" s="143">
        <f>IF($D58=" ","",ROUND(ABS(_xll.RtGet(SourceAlias,$M58,BID)-N58),4))</f>
        <v>8.0000000000000004E-4</v>
      </c>
      <c r="AF58" s="143">
        <f>IF($D58=" ","",ROUND(ABS(_xll.RtGet(SourceAlias,$M58,ASK)-O58),4))</f>
        <v>8.0000000000000004E-4</v>
      </c>
      <c r="AG58" s="143">
        <f>IF($E58=" ","",ROUND(ABS(_xll.RtGet(SourceAlias,$P58,BID)-Q58),4))</f>
        <v>8.0000000000000004E-4</v>
      </c>
      <c r="AH58" s="143">
        <f>IF($E58=" ","",ROUND(ABS(_xll.RtGet(SourceAlias,$P58,ASK)-R58),4))</f>
        <v>8.0000000000000004E-4</v>
      </c>
      <c r="AI58" s="143">
        <f>IF($F58=" ","",ROUND(ABS(_xll.RtGet(SourceAlias,$S58,BID)-T58),4))</f>
        <v>8.0000000000000004E-4</v>
      </c>
      <c r="AJ58" s="143">
        <f>IF($F58=" ","",ROUND(ABS(_xll.RtGet(SourceAlias,$S58,ASK)-U58),4))</f>
        <v>8.0000000000000004E-4</v>
      </c>
      <c r="AK58" s="143">
        <f>IF($G58=" ","",ROUND(ABS(_xll.RtGet(SourceAlias,$V58,BID)-W58),4))</f>
        <v>0</v>
      </c>
      <c r="AL58" s="143">
        <f>IF($G58=" ","",ROUND(ABS(_xll.RtGet(SourceAlias,$V58,ASK)-X58),4))</f>
        <v>0</v>
      </c>
      <c r="AM58" s="143"/>
      <c r="AN58" s="143"/>
    </row>
    <row r="59" spans="1:40" x14ac:dyDescent="0.2">
      <c r="A59" s="192"/>
      <c r="B59" s="49" t="s">
        <v>86</v>
      </c>
      <c r="C59" s="132" t="str">
        <f>IF(Contribute="abcd",IF($E$2&lt;&gt;-1,_xll.RtContribute(SourceAlias,J59,Fields,K59:L59,"SCOPE:SERVER"),_xll.RtContribute(SourceAlias,"DDS_INSERT_S",$E$2:$G$2,J59:L59,"SCOPE:SERVER FTC:ALL")),"stopped")</f>
        <v>stopped</v>
      </c>
      <c r="D59" s="139" t="str">
        <f>IF(Contribute="abcd",IF($E$2&lt;&gt;-1,_xll.RtContribute(SourceAlias,M59,Fields,N59:O59,"SCOPE:SERVER"),_xll.RtContribute(SourceAlias,"DDS_INSERT_S",$E$2:$G$2,M59:O59,"SCOPE:SERVER FTC:ALL")),"stopped")</f>
        <v>stopped</v>
      </c>
      <c r="E59" s="132" t="str">
        <f>IF(Contribute="abcd",IF($E$2&lt;&gt;-1,_xll.RtContribute(SourceAlias,P59,Fields,Q59:R59,"SCOPE:SERVER"),_xll.RtContribute(SourceAlias,"DDS_INSERT_S",$E$2:$G$2,P59:R59,"SCOPE:SERVER FTC:ALL")),"stopped")</f>
        <v>stopped</v>
      </c>
      <c r="F59" s="132" t="str">
        <f>IF(Contribute="abcd",IF($E$2&lt;&gt;-1,_xll.RtContribute(SourceAlias,S59,Fields,T59:U59,"SCOPE:SERVER"),_xll.RtContribute(SourceAlias,"DDS_INSERT_S",$E$2:$G$2,T59:U59,"SCOPE:SERVER FTC:ALL")),"stopped")</f>
        <v>stopped</v>
      </c>
      <c r="G59" s="139" t="str">
        <f>IF(Contribute="abcd",IF($E$2&lt;&gt;-1,_xll.RtContribute(SourceAlias,V59,Fields,W59:X59,"SCOPE:SERVER"),_xll.RtContribute(SourceAlias,"DDS_INSERT_S",$E$2:$G$2,V59:X59,"SCOPE:SERVER FTC:ALL")),"stopped")</f>
        <v>stopped</v>
      </c>
      <c r="H59" s="139" t="str">
        <v>stopped</v>
      </c>
      <c r="I59" s="3" t="s">
        <v>46</v>
      </c>
      <c r="J59" s="115" t="str">
        <v>USD_CURVE_1M_24Y</v>
      </c>
      <c r="K59" s="120">
        <f>IF(J59="","",'1M Pricing'!$I59*100)</f>
        <v>2.5289698121455948</v>
      </c>
      <c r="L59" s="120">
        <f t="shared" si="6"/>
        <v>2.5289698121455948</v>
      </c>
      <c r="M59" s="115" t="str">
        <v>USD_CURVE_3M_24Y</v>
      </c>
      <c r="N59" s="120">
        <f>IF(M59="","",'3M Pricing'!$I59*100)</f>
        <v>2.6347986746068499</v>
      </c>
      <c r="O59" s="116">
        <f t="shared" si="7"/>
        <v>2.6347986746068499</v>
      </c>
      <c r="P59" s="115" t="str">
        <v>USD_CURVE_6M_24Y</v>
      </c>
      <c r="Q59" s="116">
        <f>IF(P59="","",'6M Pricing'!$I59*100)</f>
        <v>2.7355777577459413</v>
      </c>
      <c r="R59" s="116">
        <f t="shared" si="8"/>
        <v>2.7355777577459413</v>
      </c>
      <c r="S59" s="115" t="str">
        <v>USD_CURVE_12M_24Y</v>
      </c>
      <c r="T59" s="116">
        <f>IF(S59="","",'1Y Pricing'!$I59*100)</f>
        <v>2.8660656624266423</v>
      </c>
      <c r="U59" s="116">
        <f t="shared" si="9"/>
        <v>2.8660656624266423</v>
      </c>
      <c r="V59" s="115" t="str">
        <v>USD_CURVE_OIS_24Y</v>
      </c>
      <c r="W59" s="120">
        <f>IF(V59="","",'ON Pricing'!$G59*100)</f>
        <v>2.4184355910984321</v>
      </c>
      <c r="X59" s="120">
        <f t="shared" si="10"/>
        <v>2.4184355910984321</v>
      </c>
      <c r="Y59" s="115"/>
      <c r="Z59" s="120" t="str">
        <f>IF(Y59="","",'STD Pricing'!$G59*100)</f>
        <v/>
      </c>
      <c r="AA59" s="120" t="str">
        <f t="shared" si="5"/>
        <v/>
      </c>
      <c r="AC59" s="143">
        <f>IF($C59=" ","",ROUND(ABS(_xll.RtGet(SourceAlias,$J59,BID)-K59),4))</f>
        <v>1E-3</v>
      </c>
      <c r="AD59" s="143">
        <f>IF($C59=" ","",ROUND(ABS(_xll.RtGet(SourceAlias,$J59,ASK)-L59),4))</f>
        <v>1E-3</v>
      </c>
      <c r="AE59" s="143">
        <f>IF($D59=" ","",ROUND(ABS(_xll.RtGet(SourceAlias,$M59,BID)-N59),4))</f>
        <v>1E-3</v>
      </c>
      <c r="AF59" s="143">
        <f>IF($D59=" ","",ROUND(ABS(_xll.RtGet(SourceAlias,$M59,ASK)-O59),4))</f>
        <v>1E-3</v>
      </c>
      <c r="AG59" s="143">
        <f>IF($E59=" ","",ROUND(ABS(_xll.RtGet(SourceAlias,$P59,BID)-Q59),4))</f>
        <v>1E-3</v>
      </c>
      <c r="AH59" s="143">
        <f>IF($E59=" ","",ROUND(ABS(_xll.RtGet(SourceAlias,$P59,ASK)-R59),4))</f>
        <v>1E-3</v>
      </c>
      <c r="AI59" s="143">
        <f>IF($F59=" ","",ROUND(ABS(_xll.RtGet(SourceAlias,$S59,BID)-T59),4))</f>
        <v>1E-3</v>
      </c>
      <c r="AJ59" s="143">
        <f>IF($F59=" ","",ROUND(ABS(_xll.RtGet(SourceAlias,$S59,ASK)-U59),4))</f>
        <v>1E-3</v>
      </c>
      <c r="AK59" s="143">
        <f>IF($G59=" ","",ROUND(ABS(_xll.RtGet(SourceAlias,$V59,BID)-W59),4))</f>
        <v>0</v>
      </c>
      <c r="AL59" s="143">
        <f>IF($G59=" ","",ROUND(ABS(_xll.RtGet(SourceAlias,$V59,ASK)-X59),4))</f>
        <v>0</v>
      </c>
      <c r="AM59" s="143"/>
      <c r="AN59" s="143"/>
    </row>
    <row r="60" spans="1:40" x14ac:dyDescent="0.2">
      <c r="A60" s="192"/>
      <c r="B60" s="49" t="s">
        <v>87</v>
      </c>
      <c r="C60" s="132" t="str">
        <f>IF(Contribute="abcd",IF($E$2&lt;&gt;-1,_xll.RtContribute(SourceAlias,J60,Fields,K60:L60,"SCOPE:SERVER"),_xll.RtContribute(SourceAlias,"DDS_INSERT_S",$E$2:$G$2,J60:L60,"SCOPE:SERVER FTC:ALL")),"stopped")</f>
        <v>stopped</v>
      </c>
      <c r="D60" s="139" t="str">
        <f>IF(Contribute="abcd",IF($E$2&lt;&gt;-1,_xll.RtContribute(SourceAlias,M60,Fields,N60:O60,"SCOPE:SERVER"),_xll.RtContribute(SourceAlias,"DDS_INSERT_S",$E$2:$G$2,M60:O60,"SCOPE:SERVER FTC:ALL")),"stopped")</f>
        <v>stopped</v>
      </c>
      <c r="E60" s="132" t="str">
        <f>IF(Contribute="abcd",IF($E$2&lt;&gt;-1,_xll.RtContribute(SourceAlias,P60,Fields,Q60:R60,"SCOPE:SERVER"),_xll.RtContribute(SourceAlias,"DDS_INSERT_S",$E$2:$G$2,P60:R60,"SCOPE:SERVER FTC:ALL")),"stopped")</f>
        <v>stopped</v>
      </c>
      <c r="F60" s="132" t="str">
        <f>IF(Contribute="abcd",IF($E$2&lt;&gt;-1,_xll.RtContribute(SourceAlias,S60,Fields,T60:U60,"SCOPE:SERVER"),_xll.RtContribute(SourceAlias,"DDS_INSERT_S",$E$2:$G$2,T60:U60,"SCOPE:SERVER FTC:ALL")),"stopped")</f>
        <v>stopped</v>
      </c>
      <c r="G60" s="139" t="str">
        <f>IF(Contribute="abcd",IF($E$2&lt;&gt;-1,_xll.RtContribute(SourceAlias,V60,Fields,W60:X60,"SCOPE:SERVER"),_xll.RtContribute(SourceAlias,"DDS_INSERT_S",$E$2:$G$2,V60:X60,"SCOPE:SERVER FTC:ALL")),"stopped")</f>
        <v>stopped</v>
      </c>
      <c r="H60" s="139" t="str">
        <v>stopped</v>
      </c>
      <c r="I60" s="3" t="s">
        <v>46</v>
      </c>
      <c r="J60" s="115" t="str">
        <v>USD_CURVE_1M_25Y</v>
      </c>
      <c r="K60" s="120">
        <f>IF(J60="","",'1M Pricing'!$I60*100)</f>
        <v>2.5378167593050547</v>
      </c>
      <c r="L60" s="120">
        <f t="shared" si="6"/>
        <v>2.5378167593050547</v>
      </c>
      <c r="M60" s="115" t="str">
        <v>USD_CURVE_3M_25Y</v>
      </c>
      <c r="N60" s="120">
        <f>IF(M60="","",'3M Pricing'!$I60*100)</f>
        <v>2.6439999999996222</v>
      </c>
      <c r="O60" s="116">
        <f t="shared" si="7"/>
        <v>2.6439999999996222</v>
      </c>
      <c r="P60" s="115" t="str">
        <v>USD_CURVE_6M_25Y</v>
      </c>
      <c r="Q60" s="116">
        <f>IF(P60="","",'6M Pricing'!$I60*100)</f>
        <v>2.7449291406634662</v>
      </c>
      <c r="R60" s="116">
        <f t="shared" si="8"/>
        <v>2.7449291406634662</v>
      </c>
      <c r="S60" s="115" t="str">
        <v>USD_CURVE_12M_25Y</v>
      </c>
      <c r="T60" s="116">
        <f>IF(S60="","",'1Y Pricing'!$I60*100)</f>
        <v>2.8748754092758291</v>
      </c>
      <c r="U60" s="116">
        <f t="shared" si="9"/>
        <v>2.8748754092758291</v>
      </c>
      <c r="V60" s="115" t="str">
        <v>USD_CURVE_OIS_25Y</v>
      </c>
      <c r="W60" s="120">
        <f>IF(V60="","",'ON Pricing'!$G60*100)</f>
        <v>2.4280000000016688</v>
      </c>
      <c r="X60" s="120">
        <f t="shared" si="10"/>
        <v>2.4280000000016688</v>
      </c>
      <c r="Y60" s="115"/>
      <c r="Z60" s="120" t="str">
        <f>IF(Y60="","",'STD Pricing'!$G60*100)</f>
        <v/>
      </c>
      <c r="AA60" s="120" t="str">
        <f t="shared" si="5"/>
        <v/>
      </c>
      <c r="AC60" s="143">
        <f>IF($C60=" ","",ROUND(ABS(_xll.RtGet(SourceAlias,$J60,BID)-K60),4))</f>
        <v>1E-3</v>
      </c>
      <c r="AD60" s="143">
        <f>IF($C60=" ","",ROUND(ABS(_xll.RtGet(SourceAlias,$J60,ASK)-L60),4))</f>
        <v>1E-3</v>
      </c>
      <c r="AE60" s="143">
        <f>IF($D60=" ","",ROUND(ABS(_xll.RtGet(SourceAlias,$M60,BID)-N60),4))</f>
        <v>1E-3</v>
      </c>
      <c r="AF60" s="143">
        <f>IF($D60=" ","",ROUND(ABS(_xll.RtGet(SourceAlias,$M60,ASK)-O60),4))</f>
        <v>1E-3</v>
      </c>
      <c r="AG60" s="143">
        <f>IF($E60=" ","",ROUND(ABS(_xll.RtGet(SourceAlias,$P60,BID)-Q60),4))</f>
        <v>1E-3</v>
      </c>
      <c r="AH60" s="143">
        <f>IF($E60=" ","",ROUND(ABS(_xll.RtGet(SourceAlias,$P60,ASK)-R60),4))</f>
        <v>1E-3</v>
      </c>
      <c r="AI60" s="143">
        <f>IF($F60=" ","",ROUND(ABS(_xll.RtGet(SourceAlias,$S60,BID)-T60),4))</f>
        <v>1E-3</v>
      </c>
      <c r="AJ60" s="143">
        <f>IF($F60=" ","",ROUND(ABS(_xll.RtGet(SourceAlias,$S60,ASK)-U60),4))</f>
        <v>1E-3</v>
      </c>
      <c r="AK60" s="143">
        <f>IF($G60=" ","",ROUND(ABS(_xll.RtGet(SourceAlias,$V60,BID)-W60),4))</f>
        <v>0</v>
      </c>
      <c r="AL60" s="143">
        <f>IF($G60=" ","",ROUND(ABS(_xll.RtGet(SourceAlias,$V60,ASK)-X60),4))</f>
        <v>0</v>
      </c>
      <c r="AM60" s="143"/>
      <c r="AN60" s="143"/>
    </row>
    <row r="61" spans="1:40" x14ac:dyDescent="0.2">
      <c r="A61" s="192"/>
      <c r="B61" s="49" t="s">
        <v>88</v>
      </c>
      <c r="C61" s="132" t="str">
        <f>IF(Contribute="abcd",IF($E$2&lt;&gt;-1,_xll.RtContribute(SourceAlias,J61,Fields,K61:L61,"SCOPE:SERVER"),_xll.RtContribute(SourceAlias,"DDS_INSERT_S",$E$2:$G$2,J61:L61,"SCOPE:SERVER FTC:ALL")),"stopped")</f>
        <v>stopped</v>
      </c>
      <c r="D61" s="139" t="str">
        <f>IF(Contribute="abcd",IF($E$2&lt;&gt;-1,_xll.RtContribute(SourceAlias,M61,Fields,N61:O61,"SCOPE:SERVER"),_xll.RtContribute(SourceAlias,"DDS_INSERT_S",$E$2:$G$2,M61:O61,"SCOPE:SERVER FTC:ALL")),"stopped")</f>
        <v>stopped</v>
      </c>
      <c r="E61" s="132" t="str">
        <f>IF(Contribute="abcd",IF($E$2&lt;&gt;-1,_xll.RtContribute(SourceAlias,P61,Fields,Q61:R61,"SCOPE:SERVER"),_xll.RtContribute(SourceAlias,"DDS_INSERT_S",$E$2:$G$2,P61:R61,"SCOPE:SERVER FTC:ALL")),"stopped")</f>
        <v>stopped</v>
      </c>
      <c r="F61" s="132" t="str">
        <f>IF(Contribute="abcd",IF($E$2&lt;&gt;-1,_xll.RtContribute(SourceAlias,S61,Fields,T61:U61,"SCOPE:SERVER"),_xll.RtContribute(SourceAlias,"DDS_INSERT_S",$E$2:$G$2,T61:U61,"SCOPE:SERVER FTC:ALL")),"stopped")</f>
        <v>stopped</v>
      </c>
      <c r="G61" s="139" t="str">
        <f>IF(Contribute="abcd",IF($E$2&lt;&gt;-1,_xll.RtContribute(SourceAlias,V61,Fields,W61:X61,"SCOPE:SERVER"),_xll.RtContribute(SourceAlias,"DDS_INSERT_S",$E$2:$G$2,V61:X61,"SCOPE:SERVER FTC:ALL")),"stopped")</f>
        <v>stopped</v>
      </c>
      <c r="H61" s="139" t="str">
        <v>stopped</v>
      </c>
      <c r="I61" s="3" t="s">
        <v>46</v>
      </c>
      <c r="J61" s="115" t="str">
        <v>USD_CURVE_1M_26Y</v>
      </c>
      <c r="K61" s="120">
        <f>IF(J61="","",'1M Pricing'!$I61*100)</f>
        <v>2.5458856846455475</v>
      </c>
      <c r="L61" s="120">
        <f t="shared" si="6"/>
        <v>2.5458856846455475</v>
      </c>
      <c r="M61" s="115" t="str">
        <v>USD_CURVE_3M_26Y</v>
      </c>
      <c r="N61" s="120">
        <f>IF(M61="","",'3M Pricing'!$I61*100)</f>
        <v>2.6524947836535708</v>
      </c>
      <c r="O61" s="116">
        <f t="shared" si="7"/>
        <v>2.6524947836535708</v>
      </c>
      <c r="P61" s="115" t="str">
        <v>USD_CURVE_6M_26Y</v>
      </c>
      <c r="Q61" s="116">
        <f>IF(P61="","",'6M Pricing'!$I61*100)</f>
        <v>2.7534975911500097</v>
      </c>
      <c r="R61" s="116">
        <f t="shared" si="8"/>
        <v>2.7534975911500097</v>
      </c>
      <c r="S61" s="115" t="str">
        <v>USD_CURVE_12M_26Y</v>
      </c>
      <c r="T61" s="116">
        <f>IF(S61="","",'1Y Pricing'!$I61*100)</f>
        <v>2.8833653155826307</v>
      </c>
      <c r="U61" s="116">
        <f t="shared" si="9"/>
        <v>2.8833653155826307</v>
      </c>
      <c r="V61" s="115" t="str">
        <v>USD_CURVE_OIS_26Y</v>
      </c>
      <c r="W61" s="120">
        <f>IF(V61="","",'ON Pricing'!$G61*100)</f>
        <v>2.4367589497145294</v>
      </c>
      <c r="X61" s="120">
        <f t="shared" si="10"/>
        <v>2.4367589497145294</v>
      </c>
      <c r="Y61" s="115"/>
      <c r="Z61" s="120" t="str">
        <f>IF(Y61="","",'STD Pricing'!$G61*100)</f>
        <v/>
      </c>
      <c r="AA61" s="120" t="str">
        <f t="shared" si="5"/>
        <v/>
      </c>
      <c r="AC61" s="143">
        <f>IF($C61=" ","",ROUND(ABS(_xll.RtGet(SourceAlias,$J61,BID)-K61),4))</f>
        <v>8.9999999999999998E-4</v>
      </c>
      <c r="AD61" s="143">
        <f>IF($C61=" ","",ROUND(ABS(_xll.RtGet(SourceAlias,$J61,ASK)-L61),4))</f>
        <v>8.9999999999999998E-4</v>
      </c>
      <c r="AE61" s="143">
        <f>IF($D61=" ","",ROUND(ABS(_xll.RtGet(SourceAlias,$M61,BID)-N61),4))</f>
        <v>8.9999999999999998E-4</v>
      </c>
      <c r="AF61" s="143">
        <f>IF($D61=" ","",ROUND(ABS(_xll.RtGet(SourceAlias,$M61,ASK)-O61),4))</f>
        <v>8.9999999999999998E-4</v>
      </c>
      <c r="AG61" s="143">
        <f>IF($E61=" ","",ROUND(ABS(_xll.RtGet(SourceAlias,$P61,BID)-Q61),4))</f>
        <v>8.9999999999999998E-4</v>
      </c>
      <c r="AH61" s="143">
        <f>IF($E61=" ","",ROUND(ABS(_xll.RtGet(SourceAlias,$P61,ASK)-R61),4))</f>
        <v>8.9999999999999998E-4</v>
      </c>
      <c r="AI61" s="143">
        <f>IF($F61=" ","",ROUND(ABS(_xll.RtGet(SourceAlias,$S61,BID)-T61),4))</f>
        <v>8.9999999999999998E-4</v>
      </c>
      <c r="AJ61" s="143">
        <f>IF($F61=" ","",ROUND(ABS(_xll.RtGet(SourceAlias,$S61,ASK)-U61),4))</f>
        <v>8.9999999999999998E-4</v>
      </c>
      <c r="AK61" s="143">
        <f>IF($G61=" ","",ROUND(ABS(_xll.RtGet(SourceAlias,$V61,BID)-W61),4))</f>
        <v>0</v>
      </c>
      <c r="AL61" s="143">
        <f>IF($G61=" ","",ROUND(ABS(_xll.RtGet(SourceAlias,$V61,ASK)-X61),4))</f>
        <v>0</v>
      </c>
      <c r="AM61" s="143"/>
      <c r="AN61" s="143"/>
    </row>
    <row r="62" spans="1:40" x14ac:dyDescent="0.2">
      <c r="A62" s="192"/>
      <c r="B62" s="49" t="s">
        <v>89</v>
      </c>
      <c r="C62" s="132" t="str">
        <f>IF(Contribute="abcd",IF($E$2&lt;&gt;-1,_xll.RtContribute(SourceAlias,J62,Fields,K62:L62,"SCOPE:SERVER"),_xll.RtContribute(SourceAlias,"DDS_INSERT_S",$E$2:$G$2,J62:L62,"SCOPE:SERVER FTC:ALL")),"stopped")</f>
        <v>stopped</v>
      </c>
      <c r="D62" s="139" t="str">
        <f>IF(Contribute="abcd",IF($E$2&lt;&gt;-1,_xll.RtContribute(SourceAlias,M62,Fields,N62:O62,"SCOPE:SERVER"),_xll.RtContribute(SourceAlias,"DDS_INSERT_S",$E$2:$G$2,M62:O62,"SCOPE:SERVER FTC:ALL")),"stopped")</f>
        <v>stopped</v>
      </c>
      <c r="E62" s="132" t="str">
        <f>IF(Contribute="abcd",IF($E$2&lt;&gt;-1,_xll.RtContribute(SourceAlias,P62,Fields,Q62:R62,"SCOPE:SERVER"),_xll.RtContribute(SourceAlias,"DDS_INSERT_S",$E$2:$G$2,P62:R62,"SCOPE:SERVER FTC:ALL")),"stopped")</f>
        <v>stopped</v>
      </c>
      <c r="F62" s="132" t="str">
        <f>IF(Contribute="abcd",IF($E$2&lt;&gt;-1,_xll.RtContribute(SourceAlias,S62,Fields,T62:U62,"SCOPE:SERVER"),_xll.RtContribute(SourceAlias,"DDS_INSERT_S",$E$2:$G$2,T62:U62,"SCOPE:SERVER FTC:ALL")),"stopped")</f>
        <v>stopped</v>
      </c>
      <c r="G62" s="139" t="str">
        <f>IF(Contribute="abcd",IF($E$2&lt;&gt;-1,_xll.RtContribute(SourceAlias,V62,Fields,W62:X62,"SCOPE:SERVER"),_xll.RtContribute(SourceAlias,"DDS_INSERT_S",$E$2:$G$2,V62:X62,"SCOPE:SERVER FTC:ALL")),"stopped")</f>
        <v>stopped</v>
      </c>
      <c r="H62" s="139" t="str">
        <v>stopped</v>
      </c>
      <c r="I62" s="3" t="s">
        <v>46</v>
      </c>
      <c r="J62" s="115" t="str">
        <v>USD_CURVE_1M_27Y</v>
      </c>
      <c r="K62" s="120">
        <f>IF(J62="","",'1M Pricing'!$I62*100)</f>
        <v>2.5531950783842108</v>
      </c>
      <c r="L62" s="120">
        <f t="shared" si="6"/>
        <v>2.5531950783842108</v>
      </c>
      <c r="M62" s="115" t="str">
        <v>USD_CURVE_3M_27Y</v>
      </c>
      <c r="N62" s="120">
        <f>IF(M62="","",'3M Pricing'!$I62*100)</f>
        <v>2.6602631893517188</v>
      </c>
      <c r="O62" s="116">
        <f t="shared" si="7"/>
        <v>2.6602631893517188</v>
      </c>
      <c r="P62" s="115" t="str">
        <v>USD_CURVE_6M_27Y</v>
      </c>
      <c r="Q62" s="116">
        <f>IF(P62="","",'6M Pricing'!$I62*100)</f>
        <v>2.7612818987765757</v>
      </c>
      <c r="R62" s="116">
        <f t="shared" si="8"/>
        <v>2.7612818987765757</v>
      </c>
      <c r="S62" s="115" t="str">
        <v>USD_CURVE_12M_27Y</v>
      </c>
      <c r="T62" s="116">
        <f>IF(S62="","",'1Y Pricing'!$I62*100)</f>
        <v>2.8913842197755724</v>
      </c>
      <c r="U62" s="116">
        <f t="shared" si="9"/>
        <v>2.8913842197755724</v>
      </c>
      <c r="V62" s="115" t="str">
        <v>USD_CURVE_OIS_27Y</v>
      </c>
      <c r="W62" s="120">
        <f>IF(V62="","",'ON Pricing'!$G62*100)</f>
        <v>2.44466881701887</v>
      </c>
      <c r="X62" s="120">
        <f t="shared" si="10"/>
        <v>2.44466881701887</v>
      </c>
      <c r="Y62" s="115"/>
      <c r="Z62" s="120" t="str">
        <f>IF(Y62="","",'STD Pricing'!$G62*100)</f>
        <v/>
      </c>
      <c r="AA62" s="120" t="str">
        <f t="shared" si="5"/>
        <v/>
      </c>
      <c r="AC62" s="143">
        <f>IF($C62=" ","",ROUND(ABS(_xll.RtGet(SourceAlias,$J62,BID)-K62),4))</f>
        <v>6.9999999999999999E-4</v>
      </c>
      <c r="AD62" s="143">
        <f>IF($C62=" ","",ROUND(ABS(_xll.RtGet(SourceAlias,$J62,ASK)-L62),4))</f>
        <v>6.9999999999999999E-4</v>
      </c>
      <c r="AE62" s="143">
        <f>IF($D62=" ","",ROUND(ABS(_xll.RtGet(SourceAlias,$M62,BID)-N62),4))</f>
        <v>6.9999999999999999E-4</v>
      </c>
      <c r="AF62" s="143">
        <f>IF($D62=" ","",ROUND(ABS(_xll.RtGet(SourceAlias,$M62,ASK)-O62),4))</f>
        <v>6.9999999999999999E-4</v>
      </c>
      <c r="AG62" s="143">
        <f>IF($E62=" ","",ROUND(ABS(_xll.RtGet(SourceAlias,$P62,BID)-Q62),4))</f>
        <v>6.9999999999999999E-4</v>
      </c>
      <c r="AH62" s="143">
        <f>IF($E62=" ","",ROUND(ABS(_xll.RtGet(SourceAlias,$P62,ASK)-R62),4))</f>
        <v>6.9999999999999999E-4</v>
      </c>
      <c r="AI62" s="143">
        <f>IF($F62=" ","",ROUND(ABS(_xll.RtGet(SourceAlias,$S62,BID)-T62),4))</f>
        <v>6.9999999999999999E-4</v>
      </c>
      <c r="AJ62" s="143">
        <f>IF($F62=" ","",ROUND(ABS(_xll.RtGet(SourceAlias,$S62,ASK)-U62),4))</f>
        <v>6.9999999999999999E-4</v>
      </c>
      <c r="AK62" s="143">
        <f>IF($G62=" ","",ROUND(ABS(_xll.RtGet(SourceAlias,$V62,BID)-W62),4))</f>
        <v>0</v>
      </c>
      <c r="AL62" s="143">
        <f>IF($G62=" ","",ROUND(ABS(_xll.RtGet(SourceAlias,$V62,ASK)-X62),4))</f>
        <v>0</v>
      </c>
      <c r="AM62" s="143"/>
      <c r="AN62" s="143"/>
    </row>
    <row r="63" spans="1:40" x14ac:dyDescent="0.2">
      <c r="A63" s="192"/>
      <c r="B63" s="49" t="s">
        <v>90</v>
      </c>
      <c r="C63" s="132" t="str">
        <f>IF(Contribute="abcd",IF($E$2&lt;&gt;-1,_xll.RtContribute(SourceAlias,J63,Fields,K63:L63,"SCOPE:SERVER"),_xll.RtContribute(SourceAlias,"DDS_INSERT_S",$E$2:$G$2,J63:L63,"SCOPE:SERVER FTC:ALL")),"stopped")</f>
        <v>stopped</v>
      </c>
      <c r="D63" s="139" t="str">
        <f>IF(Contribute="abcd",IF($E$2&lt;&gt;-1,_xll.RtContribute(SourceAlias,M63,Fields,N63:O63,"SCOPE:SERVER"),_xll.RtContribute(SourceAlias,"DDS_INSERT_S",$E$2:$G$2,M63:O63,"SCOPE:SERVER FTC:ALL")),"stopped")</f>
        <v>stopped</v>
      </c>
      <c r="E63" s="132" t="str">
        <f>IF(Contribute="abcd",IF($E$2&lt;&gt;-1,_xll.RtContribute(SourceAlias,P63,Fields,Q63:R63,"SCOPE:SERVER"),_xll.RtContribute(SourceAlias,"DDS_INSERT_S",$E$2:$G$2,P63:R63,"SCOPE:SERVER FTC:ALL")),"stopped")</f>
        <v>stopped</v>
      </c>
      <c r="F63" s="132" t="str">
        <f>IF(Contribute="abcd",IF($E$2&lt;&gt;-1,_xll.RtContribute(SourceAlias,S63,Fields,T63:U63,"SCOPE:SERVER"),_xll.RtContribute(SourceAlias,"DDS_INSERT_S",$E$2:$G$2,T63:U63,"SCOPE:SERVER FTC:ALL")),"stopped")</f>
        <v>stopped</v>
      </c>
      <c r="G63" s="139" t="str">
        <f>IF(Contribute="abcd",IF($E$2&lt;&gt;-1,_xll.RtContribute(SourceAlias,V63,Fields,W63:X63,"SCOPE:SERVER"),_xll.RtContribute(SourceAlias,"DDS_INSERT_S",$E$2:$G$2,V63:X63,"SCOPE:SERVER FTC:ALL")),"stopped")</f>
        <v>stopped</v>
      </c>
      <c r="H63" s="139" t="str">
        <v>stopped</v>
      </c>
      <c r="I63" s="3" t="s">
        <v>46</v>
      </c>
      <c r="J63" s="115" t="str">
        <v>USD_CURVE_1M_28Y</v>
      </c>
      <c r="K63" s="120">
        <f>IF(J63="","",'1M Pricing'!$I63*100)</f>
        <v>2.5597630897980261</v>
      </c>
      <c r="L63" s="120">
        <f t="shared" si="6"/>
        <v>2.5597630897980261</v>
      </c>
      <c r="M63" s="115" t="str">
        <v>USD_CURVE_3M_28Y</v>
      </c>
      <c r="N63" s="120">
        <f>IF(M63="","",'3M Pricing'!$I63*100)</f>
        <v>2.6672773316215252</v>
      </c>
      <c r="O63" s="116">
        <f t="shared" si="7"/>
        <v>2.6672773316215252</v>
      </c>
      <c r="P63" s="115" t="str">
        <v>USD_CURVE_6M_28Y</v>
      </c>
      <c r="Q63" s="116">
        <f>IF(P63="","",'6M Pricing'!$I63*100)</f>
        <v>2.7682781456904291</v>
      </c>
      <c r="R63" s="116">
        <f t="shared" si="8"/>
        <v>2.7682781456904291</v>
      </c>
      <c r="S63" s="115" t="str">
        <v>USD_CURVE_12M_28Y</v>
      </c>
      <c r="T63" s="116">
        <f>IF(S63="","",'1Y Pricing'!$I63*100)</f>
        <v>2.898769336310743</v>
      </c>
      <c r="U63" s="116">
        <f t="shared" si="9"/>
        <v>2.898769336310743</v>
      </c>
      <c r="V63" s="115" t="str">
        <v>USD_CURVE_OIS_28Y</v>
      </c>
      <c r="W63" s="120">
        <f>IF(V63="","",'ON Pricing'!$G63*100)</f>
        <v>2.4516915324743054</v>
      </c>
      <c r="X63" s="120">
        <f t="shared" si="10"/>
        <v>2.4516915324743054</v>
      </c>
      <c r="Y63" s="115"/>
      <c r="Z63" s="120" t="str">
        <f>IF(Y63="","",'STD Pricing'!$G63*100)</f>
        <v/>
      </c>
      <c r="AA63" s="120" t="str">
        <f t="shared" si="5"/>
        <v/>
      </c>
      <c r="AC63" s="143">
        <f>IF($C63=" ","",ROUND(ABS(_xll.RtGet(SourceAlias,$J63,BID)-K63),4))</f>
        <v>5.0000000000000001E-4</v>
      </c>
      <c r="AD63" s="143">
        <f>IF($C63=" ","",ROUND(ABS(_xll.RtGet(SourceAlias,$J63,ASK)-L63),4))</f>
        <v>5.0000000000000001E-4</v>
      </c>
      <c r="AE63" s="143">
        <f>IF($D63=" ","",ROUND(ABS(_xll.RtGet(SourceAlias,$M63,BID)-N63),4))</f>
        <v>4.0000000000000002E-4</v>
      </c>
      <c r="AF63" s="143">
        <f>IF($D63=" ","",ROUND(ABS(_xll.RtGet(SourceAlias,$M63,ASK)-O63),4))</f>
        <v>4.0000000000000002E-4</v>
      </c>
      <c r="AG63" s="143">
        <f>IF($E63=" ","",ROUND(ABS(_xll.RtGet(SourceAlias,$P63,BID)-Q63),4))</f>
        <v>4.0000000000000002E-4</v>
      </c>
      <c r="AH63" s="143">
        <f>IF($E63=" ","",ROUND(ABS(_xll.RtGet(SourceAlias,$P63,ASK)-R63),4))</f>
        <v>4.0000000000000002E-4</v>
      </c>
      <c r="AI63" s="143">
        <f>IF($F63=" ","",ROUND(ABS(_xll.RtGet(SourceAlias,$S63,BID)-T63),4))</f>
        <v>4.0000000000000002E-4</v>
      </c>
      <c r="AJ63" s="143">
        <f>IF($F63=" ","",ROUND(ABS(_xll.RtGet(SourceAlias,$S63,ASK)-U63),4))</f>
        <v>4.0000000000000002E-4</v>
      </c>
      <c r="AK63" s="143">
        <f>IF($G63=" ","",ROUND(ABS(_xll.RtGet(SourceAlias,$V63,BID)-W63),4))</f>
        <v>0</v>
      </c>
      <c r="AL63" s="143">
        <f>IF($G63=" ","",ROUND(ABS(_xll.RtGet(SourceAlias,$V63,ASK)-X63),4))</f>
        <v>0</v>
      </c>
      <c r="AM63" s="143"/>
      <c r="AN63" s="143"/>
    </row>
    <row r="64" spans="1:40" x14ac:dyDescent="0.2">
      <c r="A64" s="192"/>
      <c r="B64" s="49" t="s">
        <v>91</v>
      </c>
      <c r="C64" s="132" t="str">
        <f>IF(Contribute="abcd",IF($E$2&lt;&gt;-1,_xll.RtContribute(SourceAlias,J64,Fields,K64:L64,"SCOPE:SERVER"),_xll.RtContribute(SourceAlias,"DDS_INSERT_S",$E$2:$G$2,J64:L64,"SCOPE:SERVER FTC:ALL")),"stopped")</f>
        <v>stopped</v>
      </c>
      <c r="D64" s="139" t="str">
        <f>IF(Contribute="abcd",IF($E$2&lt;&gt;-1,_xll.RtContribute(SourceAlias,M64,Fields,N64:O64,"SCOPE:SERVER"),_xll.RtContribute(SourceAlias,"DDS_INSERT_S",$E$2:$G$2,M64:O64,"SCOPE:SERVER FTC:ALL")),"stopped")</f>
        <v>stopped</v>
      </c>
      <c r="E64" s="132" t="str">
        <f>IF(Contribute="abcd",IF($E$2&lt;&gt;-1,_xll.RtContribute(SourceAlias,P64,Fields,Q64:R64,"SCOPE:SERVER"),_xll.RtContribute(SourceAlias,"DDS_INSERT_S",$E$2:$G$2,P64:R64,"SCOPE:SERVER FTC:ALL")),"stopped")</f>
        <v>stopped</v>
      </c>
      <c r="F64" s="132" t="str">
        <f>IF(Contribute="abcd",IF($E$2&lt;&gt;-1,_xll.RtContribute(SourceAlias,S64,Fields,T64:U64,"SCOPE:SERVER"),_xll.RtContribute(SourceAlias,"DDS_INSERT_S",$E$2:$G$2,T64:U64,"SCOPE:SERVER FTC:ALL")),"stopped")</f>
        <v>stopped</v>
      </c>
      <c r="G64" s="139" t="str">
        <f>IF(Contribute="abcd",IF($E$2&lt;&gt;-1,_xll.RtContribute(SourceAlias,V64,Fields,W64:X64,"SCOPE:SERVER"),_xll.RtContribute(SourceAlias,"DDS_INSERT_S",$E$2:$G$2,V64:X64,"SCOPE:SERVER FTC:ALL")),"stopped")</f>
        <v>stopped</v>
      </c>
      <c r="H64" s="139" t="str">
        <v>stopped</v>
      </c>
      <c r="I64" s="3" t="s">
        <v>46</v>
      </c>
      <c r="J64" s="115" t="str">
        <v>USD_CURVE_1M_29Y</v>
      </c>
      <c r="K64" s="120">
        <f>IF(J64="","",'1M Pricing'!$I64*100)</f>
        <v>2.5656594139934001</v>
      </c>
      <c r="L64" s="120">
        <f t="shared" si="6"/>
        <v>2.5656594139934001</v>
      </c>
      <c r="M64" s="115" t="str">
        <v>USD_CURVE_3M_29Y</v>
      </c>
      <c r="N64" s="120">
        <f>IF(M64="","",'3M Pricing'!$I64*100)</f>
        <v>2.6735719450607496</v>
      </c>
      <c r="O64" s="116">
        <f t="shared" si="7"/>
        <v>2.6735719450607496</v>
      </c>
      <c r="P64" s="115" t="str">
        <v>USD_CURVE_6M_29Y</v>
      </c>
      <c r="Q64" s="116">
        <f>IF(P64="","",'6M Pricing'!$I64*100)</f>
        <v>2.7745414647696953</v>
      </c>
      <c r="R64" s="116">
        <f t="shared" si="8"/>
        <v>2.7745414647696953</v>
      </c>
      <c r="S64" s="115" t="str">
        <v>USD_CURVE_12M_29Y</v>
      </c>
      <c r="T64" s="116">
        <f>IF(S64="","",'1Y Pricing'!$I64*100)</f>
        <v>2.9054472217658516</v>
      </c>
      <c r="U64" s="116">
        <f t="shared" si="9"/>
        <v>2.9054472217658516</v>
      </c>
      <c r="V64" s="115" t="str">
        <v>USD_CURVE_OIS_29Y</v>
      </c>
      <c r="W64" s="120">
        <f>IF(V64="","",'ON Pricing'!$G64*100)</f>
        <v>2.4578514249298333</v>
      </c>
      <c r="X64" s="120">
        <f t="shared" si="10"/>
        <v>2.4578514249298333</v>
      </c>
      <c r="Y64" s="115"/>
      <c r="Z64" s="120" t="str">
        <f>IF(Y64="","",'STD Pricing'!$G64*100)</f>
        <v/>
      </c>
      <c r="AA64" s="120" t="str">
        <f t="shared" si="5"/>
        <v/>
      </c>
      <c r="AC64" s="143">
        <f>IF($C64=" ","",ROUND(ABS(_xll.RtGet(SourceAlias,$J64,BID)-K64),4))</f>
        <v>2.0000000000000001E-4</v>
      </c>
      <c r="AD64" s="143">
        <f>IF($C64=" ","",ROUND(ABS(_xll.RtGet(SourceAlias,$J64,ASK)-L64),4))</f>
        <v>2.0000000000000001E-4</v>
      </c>
      <c r="AE64" s="143">
        <f>IF($D64=" ","",ROUND(ABS(_xll.RtGet(SourceAlias,$M64,BID)-N64),4))</f>
        <v>2.0000000000000001E-4</v>
      </c>
      <c r="AF64" s="143">
        <f>IF($D64=" ","",ROUND(ABS(_xll.RtGet(SourceAlias,$M64,ASK)-O64),4))</f>
        <v>2.0000000000000001E-4</v>
      </c>
      <c r="AG64" s="143">
        <f>IF($E64=" ","",ROUND(ABS(_xll.RtGet(SourceAlias,$P64,BID)-Q64),4))</f>
        <v>2.0000000000000001E-4</v>
      </c>
      <c r="AH64" s="143">
        <f>IF($E64=" ","",ROUND(ABS(_xll.RtGet(SourceAlias,$P64,ASK)-R64),4))</f>
        <v>2.0000000000000001E-4</v>
      </c>
      <c r="AI64" s="143">
        <f>IF($F64=" ","",ROUND(ABS(_xll.RtGet(SourceAlias,$S64,BID)-T64),4))</f>
        <v>2.0000000000000001E-4</v>
      </c>
      <c r="AJ64" s="143">
        <f>IF($F64=" ","",ROUND(ABS(_xll.RtGet(SourceAlias,$S64,ASK)-U64),4))</f>
        <v>2.0000000000000001E-4</v>
      </c>
      <c r="AK64" s="143">
        <f>IF($G64=" ","",ROUND(ABS(_xll.RtGet(SourceAlias,$V64,BID)-W64),4))</f>
        <v>0</v>
      </c>
      <c r="AL64" s="143">
        <f>IF($G64=" ","",ROUND(ABS(_xll.RtGet(SourceAlias,$V64,ASK)-X64),4))</f>
        <v>0</v>
      </c>
      <c r="AM64" s="143"/>
      <c r="AN64" s="143"/>
    </row>
    <row r="65" spans="1:40" x14ac:dyDescent="0.2">
      <c r="A65" s="192"/>
      <c r="B65" s="49" t="s">
        <v>92</v>
      </c>
      <c r="C65" s="132" t="str">
        <f>IF(Contribute="abcd",IF($E$2&lt;&gt;-1,_xll.RtContribute(SourceAlias,J65,Fields,K65:L65,"SCOPE:SERVER"),_xll.RtContribute(SourceAlias,"DDS_INSERT_S",$E$2:$G$2,J65:L65,"SCOPE:SERVER FTC:ALL")),"stopped")</f>
        <v>stopped</v>
      </c>
      <c r="D65" s="139" t="str">
        <f>IF(Contribute="abcd",IF($E$2&lt;&gt;-1,_xll.RtContribute(SourceAlias,M65,Fields,N65:O65,"SCOPE:SERVER"),_xll.RtContribute(SourceAlias,"DDS_INSERT_S",$E$2:$G$2,M65:O65,"SCOPE:SERVER FTC:ALL")),"stopped")</f>
        <v>stopped</v>
      </c>
      <c r="E65" s="132" t="str">
        <f>IF(Contribute="abcd",IF($E$2&lt;&gt;-1,_xll.RtContribute(SourceAlias,P65,Fields,Q65:R65,"SCOPE:SERVER"),_xll.RtContribute(SourceAlias,"DDS_INSERT_S",$E$2:$G$2,P65:R65,"SCOPE:SERVER FTC:ALL")),"stopped")</f>
        <v>stopped</v>
      </c>
      <c r="F65" s="132" t="str">
        <f>IF(Contribute="abcd",IF($E$2&lt;&gt;-1,_xll.RtContribute(SourceAlias,S65,Fields,T65:U65,"SCOPE:SERVER"),_xll.RtContribute(SourceAlias,"DDS_INSERT_S",$E$2:$G$2,T65:U65,"SCOPE:SERVER FTC:ALL")),"stopped")</f>
        <v>stopped</v>
      </c>
      <c r="G65" s="139" t="str">
        <f>IF(Contribute="abcd",IF($E$2&lt;&gt;-1,_xll.RtContribute(SourceAlias,V65,Fields,W65:X65,"SCOPE:SERVER"),_xll.RtContribute(SourceAlias,"DDS_INSERT_S",$E$2:$G$2,V65:X65,"SCOPE:SERVER FTC:ALL")),"stopped")</f>
        <v>stopped</v>
      </c>
      <c r="H65" s="139" t="str">
        <v>stopped</v>
      </c>
      <c r="I65" s="3" t="s">
        <v>46</v>
      </c>
      <c r="J65" s="115" t="str">
        <v>USD_CURVE_1M_30Y</v>
      </c>
      <c r="K65" s="120">
        <f>IF(J65="","",'1M Pricing'!$I65*100)</f>
        <v>2.5707772992051989</v>
      </c>
      <c r="L65" s="120">
        <f t="shared" si="6"/>
        <v>2.5707772992051989</v>
      </c>
      <c r="M65" s="115" t="str">
        <v>USD_CURVE_3M_30Y</v>
      </c>
      <c r="N65" s="120">
        <f>IF(M65="","",'3M Pricing'!$I65*100)</f>
        <v>2.6790000000009022</v>
      </c>
      <c r="O65" s="116">
        <f t="shared" si="7"/>
        <v>2.6790000000009022</v>
      </c>
      <c r="P65" s="115" t="str">
        <v>USD_CURVE_6M_30Y</v>
      </c>
      <c r="Q65" s="116">
        <f>IF(P65="","",'6M Pricing'!$I65*100)</f>
        <v>2.7799410711551809</v>
      </c>
      <c r="R65" s="116">
        <f t="shared" si="8"/>
        <v>2.7799410711551809</v>
      </c>
      <c r="S65" s="115" t="str">
        <v>USD_CURVE_12M_30Y</v>
      </c>
      <c r="T65" s="116">
        <f>IF(S65="","",'1Y Pricing'!$I65*100)</f>
        <v>2.9111644636445342</v>
      </c>
      <c r="U65" s="116">
        <f t="shared" si="9"/>
        <v>2.9111644636445342</v>
      </c>
      <c r="V65" s="115" t="str">
        <v>USD_CURVE_OIS_30Y</v>
      </c>
      <c r="W65" s="120">
        <f>IF(V65="","",'ON Pricing'!$G65*100)</f>
        <v>2.4629999999996297</v>
      </c>
      <c r="X65" s="120">
        <f t="shared" si="10"/>
        <v>2.4629999999996297</v>
      </c>
      <c r="Y65" s="115"/>
      <c r="Z65" s="120" t="str">
        <f>IF(Y65="","",'STD Pricing'!$G65*100)</f>
        <v/>
      </c>
      <c r="AA65" s="120" t="str">
        <f t="shared" si="5"/>
        <v/>
      </c>
      <c r="AC65" s="143">
        <f>IF($C65=" ","",ROUND(ABS(_xll.RtGet(SourceAlias,$J65,BID)-K65),4))</f>
        <v>0</v>
      </c>
      <c r="AD65" s="143">
        <f>IF($C65=" ","",ROUND(ABS(_xll.RtGet(SourceAlias,$J65,ASK)-L65),4))</f>
        <v>0</v>
      </c>
      <c r="AE65" s="143">
        <f>IF($D65=" ","",ROUND(ABS(_xll.RtGet(SourceAlias,$M65,BID)-N65),4))</f>
        <v>0</v>
      </c>
      <c r="AF65" s="143">
        <f>IF($D65=" ","",ROUND(ABS(_xll.RtGet(SourceAlias,$M65,ASK)-O65),4))</f>
        <v>0</v>
      </c>
      <c r="AG65" s="143">
        <f>IF($E65=" ","",ROUND(ABS(_xll.RtGet(SourceAlias,$P65,BID)-Q65),4))</f>
        <v>0</v>
      </c>
      <c r="AH65" s="143">
        <f>IF($E65=" ","",ROUND(ABS(_xll.RtGet(SourceAlias,$P65,ASK)-R65),4))</f>
        <v>0</v>
      </c>
      <c r="AI65" s="143">
        <f>IF($F65=" ","",ROUND(ABS(_xll.RtGet(SourceAlias,$S65,BID)-T65),4))</f>
        <v>0</v>
      </c>
      <c r="AJ65" s="143">
        <f>IF($F65=" ","",ROUND(ABS(_xll.RtGet(SourceAlias,$S65,ASK)-U65),4))</f>
        <v>0</v>
      </c>
      <c r="AK65" s="143">
        <f>IF($G65=" ","",ROUND(ABS(_xll.RtGet(SourceAlias,$V65,BID)-W65),4))</f>
        <v>0</v>
      </c>
      <c r="AL65" s="143">
        <f>IF($G65=" ","",ROUND(ABS(_xll.RtGet(SourceAlias,$V65,ASK)-X65),4))</f>
        <v>0</v>
      </c>
      <c r="AM65" s="143"/>
      <c r="AN65" s="143"/>
    </row>
    <row r="66" spans="1:40" x14ac:dyDescent="0.2">
      <c r="A66" s="192"/>
      <c r="B66" s="49" t="s">
        <v>93</v>
      </c>
      <c r="C66" s="132" t="str">
        <f>IF(Contribute="abcd",IF($E$2&lt;&gt;-1,_xll.RtContribute(SourceAlias,J66,Fields,K66:L66,"SCOPE:SERVER"),_xll.RtContribute(SourceAlias,"DDS_INSERT_S",$E$2:$G$2,J66:L66,"SCOPE:SERVER FTC:ALL")),"stopped")</f>
        <v>stopped</v>
      </c>
      <c r="D66" s="139" t="str">
        <f>IF(Contribute="abcd",IF($E$2&lt;&gt;-1,_xll.RtContribute(SourceAlias,M66,Fields,N66:O66,"SCOPE:SERVER"),_xll.RtContribute(SourceAlias,"DDS_INSERT_S",$E$2:$G$2,M66:O66,"SCOPE:SERVER FTC:ALL")),"stopped")</f>
        <v>stopped</v>
      </c>
      <c r="E66" s="132" t="str">
        <f>IF(Contribute="abcd",IF($E$2&lt;&gt;-1,_xll.RtContribute(SourceAlias,P66,Fields,Q66:R66,"SCOPE:SERVER"),_xll.RtContribute(SourceAlias,"DDS_INSERT_S",$E$2:$G$2,P66:R66,"SCOPE:SERVER FTC:ALL")),"stopped")</f>
        <v>stopped</v>
      </c>
      <c r="F66" s="132" t="str">
        <f>IF(Contribute="abcd",IF($E$2&lt;&gt;-1,_xll.RtContribute(SourceAlias,S66,Fields,T66:U66,"SCOPE:SERVER"),_xll.RtContribute(SourceAlias,"DDS_INSERT_S",$E$2:$G$2,T66:U66,"SCOPE:SERVER FTC:ALL")),"stopped")</f>
        <v>stopped</v>
      </c>
      <c r="G66" s="139" t="str">
        <f>IF(Contribute="abcd",IF($E$2&lt;&gt;-1,_xll.RtContribute(SourceAlias,V66,Fields,W66:X66,"SCOPE:SERVER"),_xll.RtContribute(SourceAlias,"DDS_INSERT_S",$E$2:$G$2,V66:X66,"SCOPE:SERVER FTC:ALL")),"stopped")</f>
        <v>stopped</v>
      </c>
      <c r="H66" s="139" t="str">
        <v>stopped</v>
      </c>
      <c r="I66" s="3" t="s">
        <v>46</v>
      </c>
      <c r="J66" s="115" t="str">
        <v>USD_CURVE_1M_40Y</v>
      </c>
      <c r="K66" s="120">
        <f>IF(J66="","",'1M Pricing'!$I66*100)</f>
        <v>2.589771309625895</v>
      </c>
      <c r="L66" s="120">
        <f t="shared" si="6"/>
        <v>2.589771309625895</v>
      </c>
      <c r="M66" s="115" t="str">
        <v>USD_CURVE_3M_40Y</v>
      </c>
      <c r="N66" s="120">
        <f>IF(M66="","",'3M Pricing'!$I66*100)</f>
        <v>2.698000000003641</v>
      </c>
      <c r="O66" s="116">
        <f t="shared" si="7"/>
        <v>2.698000000003641</v>
      </c>
      <c r="P66" s="115" t="str">
        <v>USD_CURVE_6M_40Y</v>
      </c>
      <c r="Q66" s="116">
        <f>IF(P66="","",'6M Pricing'!$I66*100)</f>
        <v>2.7989445497843266</v>
      </c>
      <c r="R66" s="116">
        <f t="shared" si="8"/>
        <v>2.7989445497843266</v>
      </c>
      <c r="S66" s="115" t="str">
        <v>USD_CURVE_12M_40Y</v>
      </c>
      <c r="T66" s="116">
        <f>IF(S66="","",'1Y Pricing'!$I66*100)</f>
        <v>2.9301724644985736</v>
      </c>
      <c r="U66" s="116">
        <f t="shared" si="9"/>
        <v>2.9301724644985736</v>
      </c>
      <c r="V66" s="115" t="str">
        <v>USD_CURVE_OIS_40Y</v>
      </c>
      <c r="W66" s="120">
        <f>IF(V66="","",'ON Pricing'!$G66*100)</f>
        <v>2.477000000000201</v>
      </c>
      <c r="X66" s="120">
        <f t="shared" si="10"/>
        <v>2.477000000000201</v>
      </c>
      <c r="Y66" s="115"/>
      <c r="Z66" s="120" t="str">
        <f>IF(Y66="","",'STD Pricing'!$G66*100)</f>
        <v/>
      </c>
      <c r="AA66" s="120" t="str">
        <f t="shared" si="5"/>
        <v/>
      </c>
      <c r="AC66" s="143">
        <f>IF($C66=" ","",ROUND(ABS(_xll.RtGet(SourceAlias,$J66,BID)-K66),4))</f>
        <v>0</v>
      </c>
      <c r="AD66" s="143">
        <f>IF($C66=" ","",ROUND(ABS(_xll.RtGet(SourceAlias,$J66,ASK)-L66),4))</f>
        <v>0</v>
      </c>
      <c r="AE66" s="143">
        <f>IF($D66=" ","",ROUND(ABS(_xll.RtGet(SourceAlias,$M66,BID)-N66),4))</f>
        <v>0</v>
      </c>
      <c r="AF66" s="143">
        <f>IF($D66=" ","",ROUND(ABS(_xll.RtGet(SourceAlias,$M66,ASK)-O66),4))</f>
        <v>0</v>
      </c>
      <c r="AG66" s="143">
        <f>IF($E66=" ","",ROUND(ABS(_xll.RtGet(SourceAlias,$P66,BID)-Q66),4))</f>
        <v>0</v>
      </c>
      <c r="AH66" s="143">
        <f>IF($E66=" ","",ROUND(ABS(_xll.RtGet(SourceAlias,$P66,ASK)-R66),4))</f>
        <v>0</v>
      </c>
      <c r="AI66" s="143">
        <f>IF($F66=" ","",ROUND(ABS(_xll.RtGet(SourceAlias,$S66,BID)-T66),4))</f>
        <v>0</v>
      </c>
      <c r="AJ66" s="143">
        <f>IF($F66=" ","",ROUND(ABS(_xll.RtGet(SourceAlias,$S66,ASK)-U66),4))</f>
        <v>0</v>
      </c>
      <c r="AK66" s="143">
        <f>IF($G66=" ","",ROUND(ABS(_xll.RtGet(SourceAlias,$V66,BID)-W66),4))</f>
        <v>0</v>
      </c>
      <c r="AL66" s="143">
        <f>IF($G66=" ","",ROUND(ABS(_xll.RtGet(SourceAlias,$V66,ASK)-X66),4))</f>
        <v>0</v>
      </c>
      <c r="AM66" s="143"/>
      <c r="AN66" s="143"/>
    </row>
    <row r="67" spans="1:40" x14ac:dyDescent="0.2">
      <c r="A67" s="192"/>
      <c r="B67" s="49" t="s">
        <v>94</v>
      </c>
      <c r="C67" s="132" t="str">
        <f>IF(Contribute="abcd",IF($E$2&lt;&gt;-1,_xll.RtContribute(SourceAlias,J67,Fields,K67:L67,"SCOPE:SERVER"),_xll.RtContribute(SourceAlias,"DDS_INSERT_S",$E$2:$G$2,J67:L67,"SCOPE:SERVER FTC:ALL")),"stopped")</f>
        <v>stopped</v>
      </c>
      <c r="D67" s="139" t="str">
        <f>IF(Contribute="abcd",IF($E$2&lt;&gt;-1,_xll.RtContribute(SourceAlias,M67,Fields,N67:O67,"SCOPE:SERVER"),_xll.RtContribute(SourceAlias,"DDS_INSERT_S",$E$2:$G$2,M67:O67,"SCOPE:SERVER FTC:ALL")),"stopped")</f>
        <v>stopped</v>
      </c>
      <c r="E67" s="132" t="str">
        <f>IF(Contribute="abcd",IF($E$2&lt;&gt;-1,_xll.RtContribute(SourceAlias,P67,Fields,Q67:R67,"SCOPE:SERVER"),_xll.RtContribute(SourceAlias,"DDS_INSERT_S",$E$2:$G$2,P67:R67,"SCOPE:SERVER FTC:ALL")),"stopped")</f>
        <v>stopped</v>
      </c>
      <c r="F67" s="132" t="str">
        <f>IF(Contribute="abcd",IF($E$2&lt;&gt;-1,_xll.RtContribute(SourceAlias,S67,Fields,T67:U67,"SCOPE:SERVER"),_xll.RtContribute(SourceAlias,"DDS_INSERT_S",$E$2:$G$2,T67:U67,"SCOPE:SERVER FTC:ALL")),"stopped")</f>
        <v>stopped</v>
      </c>
      <c r="G67" s="139" t="str">
        <f>IF(Contribute="abcd",IF($E$2&lt;&gt;-1,_xll.RtContribute(SourceAlias,V67,Fields,W67:X67,"SCOPE:SERVER"),_xll.RtContribute(SourceAlias,"DDS_INSERT_S",$E$2:$G$2,V67:X67,"SCOPE:SERVER FTC:ALL")),"stopped")</f>
        <v>stopped</v>
      </c>
      <c r="H67" s="139" t="str">
        <v>stopped</v>
      </c>
      <c r="I67" s="3" t="s">
        <v>46</v>
      </c>
      <c r="J67" s="115" t="str">
        <v>USD_CURVE_1M_50Y</v>
      </c>
      <c r="K67" s="120">
        <f>IF(J67="","",'1M Pricing'!$I67*100)</f>
        <v>2.5737790225914483</v>
      </c>
      <c r="L67" s="120">
        <f t="shared" si="6"/>
        <v>2.5737790225914483</v>
      </c>
      <c r="M67" s="115" t="str">
        <v>USD_CURVE_3M_50Y</v>
      </c>
      <c r="N67" s="120">
        <f>IF(M67="","",'3M Pricing'!$I67*100)</f>
        <v>2.6819999999998814</v>
      </c>
      <c r="O67" s="116">
        <f t="shared" si="7"/>
        <v>2.6819999999998814</v>
      </c>
      <c r="P67" s="115" t="str">
        <v>USD_CURVE_6M_50Y</v>
      </c>
      <c r="Q67" s="116">
        <f>IF(P67="","",'6M Pricing'!$I67*100)</f>
        <v>2.7829380333934464</v>
      </c>
      <c r="R67" s="116">
        <f t="shared" si="8"/>
        <v>2.7829380333934464</v>
      </c>
      <c r="S67" s="115" t="str">
        <v>USD_CURVE_12M_50Y</v>
      </c>
      <c r="T67" s="116">
        <f>IF(S67="","",'1Y Pricing'!$I67*100)</f>
        <v>2.914157476805145</v>
      </c>
      <c r="U67" s="116">
        <f t="shared" si="9"/>
        <v>2.914157476805145</v>
      </c>
      <c r="V67" s="115" t="str">
        <v>USD_CURVE_OIS_50Y</v>
      </c>
      <c r="W67" s="120">
        <f>IF(V67="","",'ON Pricing'!$G67*100)</f>
        <v>2.4620000000004367</v>
      </c>
      <c r="X67" s="120">
        <f t="shared" si="10"/>
        <v>2.4620000000004367</v>
      </c>
      <c r="Y67" s="115"/>
      <c r="Z67" s="120" t="str">
        <f>IF(Y67="","",'STD Pricing'!$G67*100)</f>
        <v/>
      </c>
      <c r="AA67" s="120" t="str">
        <f t="shared" si="5"/>
        <v/>
      </c>
      <c r="AC67" s="143">
        <f>IF($C67=" ","",ROUND(ABS(_xll.RtGet(SourceAlias,$J67,BID)-K67),4))</f>
        <v>0</v>
      </c>
      <c r="AD67" s="143">
        <f>IF($C67=" ","",ROUND(ABS(_xll.RtGet(SourceAlias,$J67,ASK)-L67),4))</f>
        <v>0</v>
      </c>
      <c r="AE67" s="143">
        <f>IF($D67=" ","",ROUND(ABS(_xll.RtGet(SourceAlias,$M67,BID)-N67),4))</f>
        <v>0</v>
      </c>
      <c r="AF67" s="143">
        <f>IF($D67=" ","",ROUND(ABS(_xll.RtGet(SourceAlias,$M67,ASK)-O67),4))</f>
        <v>0</v>
      </c>
      <c r="AG67" s="143">
        <f>IF($E67=" ","",ROUND(ABS(_xll.RtGet(SourceAlias,$P67,BID)-Q67),4))</f>
        <v>0</v>
      </c>
      <c r="AH67" s="143">
        <f>IF($E67=" ","",ROUND(ABS(_xll.RtGet(SourceAlias,$P67,ASK)-R67),4))</f>
        <v>0</v>
      </c>
      <c r="AI67" s="143">
        <f>IF($F67=" ","",ROUND(ABS(_xll.RtGet(SourceAlias,$S67,BID)-T67),4))</f>
        <v>0</v>
      </c>
      <c r="AJ67" s="143">
        <f>IF($F67=" ","",ROUND(ABS(_xll.RtGet(SourceAlias,$S67,ASK)-U67),4))</f>
        <v>0</v>
      </c>
      <c r="AK67" s="143">
        <f>IF($G67=" ","",ROUND(ABS(_xll.RtGet(SourceAlias,$V67,BID)-W67),4))</f>
        <v>0</v>
      </c>
      <c r="AL67" s="143">
        <f>IF($G67=" ","",ROUND(ABS(_xll.RtGet(SourceAlias,$V67,ASK)-X67),4))</f>
        <v>0</v>
      </c>
      <c r="AM67" s="143"/>
      <c r="AN67" s="143"/>
    </row>
    <row r="68" spans="1:40" ht="11.25" customHeight="1" x14ac:dyDescent="0.2">
      <c r="A68" s="193"/>
      <c r="B68" s="50" t="s">
        <v>95</v>
      </c>
      <c r="C68" s="133" t="str">
        <f>IF(Contribute="abcd",IF($E$2&lt;&gt;-1,_xll.RtContribute(SourceAlias,J68,Fields,K68:L68,"SCOPE:SERVER"),_xll.RtContribute(SourceAlias,"DDS_INSERT_S",$E$2:$G$2,J68:L68,"SCOPE:SERVER FTC:ALL")),"stopped")</f>
        <v>stopped</v>
      </c>
      <c r="D68" s="140" t="str">
        <f>IF(Contribute="abcd",IF($E$2&lt;&gt;-1,_xll.RtContribute(SourceAlias,M68,Fields,N68:O68,"SCOPE:SERVER"),_xll.RtContribute(SourceAlias,"DDS_INSERT_S",$E$2:$G$2,M68:O68,"SCOPE:SERVER FTC:ALL")),"stopped")</f>
        <v>stopped</v>
      </c>
      <c r="E68" s="133" t="str">
        <f>IF(Contribute="abcd",IF($E$2&lt;&gt;-1,_xll.RtContribute(SourceAlias,P68,Fields,Q68:R68,"SCOPE:SERVER"),_xll.RtContribute(SourceAlias,"DDS_INSERT_S",$E$2:$G$2,P68:R68,"SCOPE:SERVER FTC:ALL")),"stopped")</f>
        <v>stopped</v>
      </c>
      <c r="F68" s="133" t="str">
        <f>IF(Contribute="abcd",IF($E$2&lt;&gt;-1,_xll.RtContribute(SourceAlias,S68,Fields,T68:U68,"SCOPE:SERVER"),_xll.RtContribute(SourceAlias,"DDS_INSERT_S",$E$2:$G$2,T68:U68,"SCOPE:SERVER FTC:ALL")),"stopped")</f>
        <v>stopped</v>
      </c>
      <c r="G68" s="140" t="str">
        <f>IF(Contribute="abcd",IF($E$2&lt;&gt;-1,_xll.RtContribute(SourceAlias,V68,Fields,W68:X68,"SCOPE:SERVER"),_xll.RtContribute(SourceAlias,"DDS_INSERT_S",$E$2:$G$2,V68:X68,"SCOPE:SERVER FTC:ALL")),"stopped")</f>
        <v>stopped</v>
      </c>
      <c r="H68" s="140" t="str">
        <v>stopped</v>
      </c>
      <c r="I68" s="3" t="s">
        <v>46</v>
      </c>
      <c r="J68" s="121" t="str">
        <v>USD_CURVE_1M_60Y</v>
      </c>
      <c r="K68" s="164">
        <f>IF(J68="","",'1M Pricing'!$I68*100)</f>
        <v>2.5588079610746894</v>
      </c>
      <c r="L68" s="164">
        <f t="shared" ref="L68" si="11">K68</f>
        <v>2.5588079610746894</v>
      </c>
      <c r="M68" s="121" t="str">
        <v>USD_CURVE_3M_60Y</v>
      </c>
      <c r="N68" s="164">
        <f>IF(M68="","",'3M Pricing'!$I68*100)</f>
        <v>2.6671849136606491</v>
      </c>
      <c r="O68" s="119">
        <f t="shared" ref="O68" si="12">N68</f>
        <v>2.6671849136606491</v>
      </c>
      <c r="P68" s="121" t="str">
        <v>USD_CURVE_6M_60Y</v>
      </c>
      <c r="Q68" s="119">
        <f>IF(P68="","",'6M Pricing'!$I68*100)</f>
        <v>2.7681175100735453</v>
      </c>
      <c r="R68" s="119">
        <f t="shared" ref="R68" si="13">Q68</f>
        <v>2.7681175100735453</v>
      </c>
      <c r="S68" s="121" t="str">
        <v>USD_CURVE_12M_60Y</v>
      </c>
      <c r="T68" s="119">
        <f>IF(S68="","",'1Y Pricing'!$I68*100)</f>
        <v>2.8993298854160106</v>
      </c>
      <c r="U68" s="119">
        <f t="shared" ref="U68" si="14">T68</f>
        <v>2.8993298854160106</v>
      </c>
      <c r="V68" s="121" t="str">
        <v>USD_CURVE_OIS_60Y</v>
      </c>
      <c r="W68" s="164">
        <f>IF(V68="","",'ON Pricing'!$G68*100)</f>
        <v>2.448903821613595</v>
      </c>
      <c r="X68" s="164">
        <f t="shared" ref="X68" si="15">W68</f>
        <v>2.448903821613595</v>
      </c>
      <c r="Y68" s="121"/>
      <c r="Z68" s="164" t="str">
        <f>IF(Y68="","",'STD Pricing'!$G68*100)</f>
        <v/>
      </c>
      <c r="AA68" s="164" t="str">
        <f t="shared" si="5"/>
        <v/>
      </c>
      <c r="AC68" s="165">
        <f>IF($C68=" ","",ROUND(ABS(_xll.RtGet(SourceAlias,$J68,BID)-K68),4))</f>
        <v>1E-4</v>
      </c>
      <c r="AD68" s="165">
        <f>IF($C68=" ","",ROUND(ABS(_xll.RtGet(SourceAlias,$J68,ASK)-L68),4))</f>
        <v>1E-4</v>
      </c>
      <c r="AE68" s="165">
        <f>IF($D68=" ","",ROUND(ABS(_xll.RtGet(SourceAlias,$M68,BID)-N68),4))</f>
        <v>1E-4</v>
      </c>
      <c r="AF68" s="165">
        <f>IF($D68=" ","",ROUND(ABS(_xll.RtGet(SourceAlias,$M68,ASK)-O68),4))</f>
        <v>1E-4</v>
      </c>
      <c r="AG68" s="165">
        <f>IF($E68=" ","",ROUND(ABS(_xll.RtGet(SourceAlias,$P68,BID)-Q68),4))</f>
        <v>1E-4</v>
      </c>
      <c r="AH68" s="165">
        <f>IF($E68=" ","",ROUND(ABS(_xll.RtGet(SourceAlias,$P68,ASK)-R68),4))</f>
        <v>1E-4</v>
      </c>
      <c r="AI68" s="165">
        <f>IF($F68=" ","",ROUND(ABS(_xll.RtGet(SourceAlias,$S68,BID)-T68),4))</f>
        <v>1E-4</v>
      </c>
      <c r="AJ68" s="165">
        <f>IF($F68=" ","",ROUND(ABS(_xll.RtGet(SourceAlias,$S68,ASK)-U68),4))</f>
        <v>1E-4</v>
      </c>
      <c r="AK68" s="165">
        <f>IF($G68=" ","",ROUND(ABS(_xll.RtGet(SourceAlias,$V68,BID)-W68),4))</f>
        <v>0</v>
      </c>
      <c r="AL68" s="165">
        <f>IF($G68=" ","",ROUND(ABS(_xll.RtGet(SourceAlias,$V68,ASK)-X68),4))</f>
        <v>0</v>
      </c>
      <c r="AM68" s="165"/>
      <c r="AN68" s="165"/>
    </row>
  </sheetData>
  <mergeCells count="3">
    <mergeCell ref="A33:A68"/>
    <mergeCell ref="A25:A32"/>
    <mergeCell ref="A6:A24"/>
  </mergeCells>
  <conditionalFormatting sqref="C2">
    <cfRule type="cellIs" dxfId="5" priority="13" operator="equal">
      <formula>"abcd"</formula>
    </cfRule>
  </conditionalFormatting>
  <conditionalFormatting sqref="C6:G38">
    <cfRule type="containsText" dxfId="4" priority="2" operator="containsText" text="Failure">
      <formula>NOT(ISERROR(SEARCH("Failure",C6)))</formula>
    </cfRule>
  </conditionalFormatting>
  <conditionalFormatting sqref="H6:H38">
    <cfRule type="containsText" dxfId="3" priority="1" operator="containsText" text="Failure">
      <formula>NOT(ISERROR(SEARCH("Failure",H6)))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AN68"/>
  <sheetViews>
    <sheetView showGridLines="0" workbookViewId="0">
      <pane xSplit="9" topLeftCell="J1" activePane="topRight" state="frozen"/>
      <selection pane="topRight" activeCell="C2" sqref="C2"/>
    </sheetView>
  </sheetViews>
  <sheetFormatPr defaultColWidth="3" defaultRowHeight="11.25" x14ac:dyDescent="0.2"/>
  <cols>
    <col min="1" max="1" width="3" style="2"/>
    <col min="2" max="2" width="11" style="2" bestFit="1" customWidth="1"/>
    <col min="3" max="8" width="11.28515625" style="2" customWidth="1"/>
    <col min="9" max="9" width="2.7109375" style="3" customWidth="1"/>
    <col min="10" max="10" width="26.5703125" style="2" bestFit="1" customWidth="1"/>
    <col min="11" max="12" width="11" style="99" bestFit="1" customWidth="1"/>
    <col min="13" max="13" width="26.5703125" style="2" bestFit="1" customWidth="1"/>
    <col min="14" max="14" width="9.28515625" style="99" customWidth="1"/>
    <col min="15" max="15" width="9.28515625" style="100" customWidth="1"/>
    <col min="16" max="16" width="26.5703125" style="2" bestFit="1" customWidth="1"/>
    <col min="17" max="18" width="8.28515625" style="100" customWidth="1"/>
    <col min="19" max="19" width="26.5703125" style="2" bestFit="1" customWidth="1"/>
    <col min="20" max="21" width="8.28515625" style="100" customWidth="1"/>
    <col min="22" max="22" width="24.42578125" style="2" bestFit="1" customWidth="1"/>
    <col min="23" max="24" width="8.28515625" style="99" customWidth="1"/>
    <col min="25" max="25" width="24.42578125" style="2" bestFit="1" customWidth="1"/>
    <col min="26" max="27" width="8.28515625" style="99" customWidth="1"/>
    <col min="28" max="28" width="2.7109375" style="2" customWidth="1"/>
    <col min="29" max="29" width="10" style="2" customWidth="1"/>
    <col min="30" max="30" width="10" style="3" customWidth="1"/>
    <col min="31" max="31" width="10" style="2" customWidth="1"/>
    <col min="32" max="32" width="10" style="3" customWidth="1"/>
    <col min="33" max="33" width="10" style="2" customWidth="1"/>
    <col min="34" max="34" width="10" style="3" customWidth="1"/>
    <col min="35" max="35" width="10" style="2" customWidth="1"/>
    <col min="36" max="36" width="10" style="3" customWidth="1"/>
    <col min="37" max="37" width="10" style="2" bestFit="1" customWidth="1"/>
    <col min="38" max="38" width="10" style="3" bestFit="1" customWidth="1"/>
    <col min="39" max="39" width="10" style="2" bestFit="1" customWidth="1"/>
    <col min="40" max="40" width="10" style="3" bestFit="1" customWidth="1"/>
    <col min="41" max="45" width="14.42578125" style="2" customWidth="1"/>
    <col min="46" max="16384" width="3" style="2"/>
  </cols>
  <sheetData>
    <row r="2" spans="1:40" ht="11.25" customHeight="1" x14ac:dyDescent="0.2">
      <c r="B2" s="44" t="s">
        <v>8</v>
      </c>
      <c r="C2" s="24">
        <f>Contribute</f>
        <v>0</v>
      </c>
      <c r="D2" s="9" t="s">
        <v>117</v>
      </c>
      <c r="E2" s="9">
        <v>0</v>
      </c>
      <c r="F2" s="25" t="s">
        <v>0</v>
      </c>
      <c r="G2" s="8" t="s">
        <v>1</v>
      </c>
      <c r="I2" s="2"/>
      <c r="AD2" s="2"/>
      <c r="AF2" s="2"/>
      <c r="AH2" s="2"/>
      <c r="AJ2" s="2"/>
      <c r="AL2" s="2"/>
      <c r="AN2" s="2"/>
    </row>
    <row r="3" spans="1:40" ht="11.25" customHeight="1" x14ac:dyDescent="0.2">
      <c r="C3" s="41"/>
      <c r="D3" s="42"/>
      <c r="I3" s="2"/>
      <c r="AD3" s="2"/>
      <c r="AF3" s="2"/>
      <c r="AH3" s="2"/>
      <c r="AJ3" s="2"/>
      <c r="AL3" s="2"/>
      <c r="AN3" s="2"/>
    </row>
    <row r="4" spans="1:40" ht="11.25" customHeight="1" x14ac:dyDescent="0.2">
      <c r="B4" s="43" t="s">
        <v>62</v>
      </c>
      <c r="C4" s="39"/>
      <c r="D4" s="17"/>
      <c r="E4" s="17"/>
      <c r="F4" s="40"/>
      <c r="G4" s="40"/>
      <c r="H4" s="40"/>
      <c r="I4" s="2" t="s">
        <v>46</v>
      </c>
      <c r="J4" s="129" t="s">
        <v>16</v>
      </c>
      <c r="K4" s="130"/>
      <c r="L4" s="131"/>
      <c r="M4" s="129" t="s">
        <v>18</v>
      </c>
      <c r="N4" s="130"/>
      <c r="O4" s="131"/>
      <c r="P4" s="129" t="s">
        <v>13</v>
      </c>
      <c r="Q4" s="130"/>
      <c r="R4" s="131"/>
      <c r="S4" s="129" t="s">
        <v>22</v>
      </c>
      <c r="T4" s="130"/>
      <c r="U4" s="131"/>
      <c r="V4" s="129" t="s">
        <v>14</v>
      </c>
      <c r="W4" s="130"/>
      <c r="X4" s="131"/>
      <c r="Y4" s="129" t="s">
        <v>291</v>
      </c>
      <c r="Z4" s="130"/>
      <c r="AA4" s="131"/>
      <c r="AB4" s="38" t="s">
        <v>46</v>
      </c>
      <c r="AC4" s="39" t="s">
        <v>16</v>
      </c>
      <c r="AD4" s="40"/>
      <c r="AE4" s="39" t="s">
        <v>18</v>
      </c>
      <c r="AF4" s="40"/>
      <c r="AG4" s="39" t="s">
        <v>13</v>
      </c>
      <c r="AH4" s="40"/>
      <c r="AI4" s="39" t="s">
        <v>22</v>
      </c>
      <c r="AJ4" s="40"/>
      <c r="AK4" s="39" t="s">
        <v>14</v>
      </c>
      <c r="AL4" s="40"/>
      <c r="AM4" s="39" t="s">
        <v>291</v>
      </c>
      <c r="AN4" s="40"/>
    </row>
    <row r="5" spans="1:40" s="18" customFormat="1" ht="11.25" customHeight="1" x14ac:dyDescent="0.2">
      <c r="A5" s="2"/>
      <c r="B5" s="7" t="s">
        <v>58</v>
      </c>
      <c r="C5" s="7" t="s">
        <v>16</v>
      </c>
      <c r="D5" s="7" t="s">
        <v>18</v>
      </c>
      <c r="E5" s="7" t="s">
        <v>13</v>
      </c>
      <c r="F5" s="7" t="s">
        <v>22</v>
      </c>
      <c r="G5" s="7" t="s">
        <v>14</v>
      </c>
      <c r="H5" s="7" t="s">
        <v>291</v>
      </c>
      <c r="I5" s="18" t="s">
        <v>46</v>
      </c>
      <c r="J5" s="19" t="s">
        <v>43</v>
      </c>
      <c r="K5" s="11" t="s">
        <v>0</v>
      </c>
      <c r="L5" s="11" t="s">
        <v>1</v>
      </c>
      <c r="M5" s="19" t="s">
        <v>43</v>
      </c>
      <c r="N5" s="11" t="s">
        <v>0</v>
      </c>
      <c r="O5" s="10" t="s">
        <v>1</v>
      </c>
      <c r="P5" s="19" t="s">
        <v>43</v>
      </c>
      <c r="Q5" s="10" t="s">
        <v>0</v>
      </c>
      <c r="R5" s="10" t="s">
        <v>1</v>
      </c>
      <c r="S5" s="19" t="s">
        <v>43</v>
      </c>
      <c r="T5" s="10" t="s">
        <v>0</v>
      </c>
      <c r="U5" s="10" t="s">
        <v>1</v>
      </c>
      <c r="V5" s="19" t="s">
        <v>43</v>
      </c>
      <c r="W5" s="11" t="s">
        <v>0</v>
      </c>
      <c r="X5" s="11" t="s">
        <v>1</v>
      </c>
      <c r="Y5" s="19" t="s">
        <v>43</v>
      </c>
      <c r="Z5" s="11" t="s">
        <v>0</v>
      </c>
      <c r="AA5" s="11" t="s">
        <v>1</v>
      </c>
      <c r="AB5" s="38" t="s">
        <v>46</v>
      </c>
      <c r="AC5" s="7" t="s">
        <v>47</v>
      </c>
      <c r="AD5" s="7" t="s">
        <v>48</v>
      </c>
      <c r="AE5" s="7" t="s">
        <v>47</v>
      </c>
      <c r="AF5" s="7" t="s">
        <v>48</v>
      </c>
      <c r="AG5" s="7" t="s">
        <v>47</v>
      </c>
      <c r="AH5" s="7" t="s">
        <v>48</v>
      </c>
      <c r="AI5" s="7" t="s">
        <v>47</v>
      </c>
      <c r="AJ5" s="7" t="s">
        <v>48</v>
      </c>
      <c r="AK5" s="7" t="s">
        <v>47</v>
      </c>
      <c r="AL5" s="7" t="s">
        <v>48</v>
      </c>
      <c r="AM5" s="7" t="s">
        <v>47</v>
      </c>
      <c r="AN5" s="7" t="s">
        <v>48</v>
      </c>
    </row>
    <row r="6" spans="1:40" ht="11.25" customHeight="1" x14ac:dyDescent="0.2">
      <c r="A6" s="194" t="s">
        <v>106</v>
      </c>
      <c r="B6" s="48" t="s">
        <v>14</v>
      </c>
      <c r="C6" s="83" t="s">
        <v>46</v>
      </c>
      <c r="D6" s="134" t="s">
        <v>46</v>
      </c>
      <c r="E6" s="83" t="s">
        <v>46</v>
      </c>
      <c r="F6" s="83" t="s">
        <v>46</v>
      </c>
      <c r="G6" s="135" t="s">
        <v>46</v>
      </c>
      <c r="H6" s="135" t="s">
        <v>46</v>
      </c>
      <c r="I6" s="18" t="s">
        <v>46</v>
      </c>
      <c r="J6" s="112" t="str">
        <f t="array" ref="J6:J68">IF('1M Pricing'!J6:J68="","",'1M Pricing'!J6:J68)</f>
        <v/>
      </c>
      <c r="K6" s="113" t="str">
        <f>IF(J6="","",'1M Pricing'!$I6*100)</f>
        <v/>
      </c>
      <c r="L6" s="113" t="str">
        <f>K6</f>
        <v/>
      </c>
      <c r="M6" s="114" t="str">
        <f t="array" ref="M6:M68">IF('3M Pricing'!J6:J68="","",'3M Pricing'!J6:J68)</f>
        <v/>
      </c>
      <c r="N6" s="113" t="str">
        <f>IF(M6="","",'3M Pricing'!$I6*100)</f>
        <v/>
      </c>
      <c r="O6" s="113" t="str">
        <f>N6</f>
        <v/>
      </c>
      <c r="P6" s="114" t="str">
        <f t="array" ref="P6:P68">IF('6M Pricing'!J6:J68="","",'6M Pricing'!J6:J68)</f>
        <v/>
      </c>
      <c r="Q6" s="113" t="str">
        <f>IF(P6="","",'6M Pricing'!$I6*100)</f>
        <v/>
      </c>
      <c r="R6" s="113" t="str">
        <f>Q6</f>
        <v/>
      </c>
      <c r="S6" s="114" t="str">
        <f t="array" ref="S6:S68">IF('1Y Pricing'!J6:J68="","",'1Y Pricing'!J6:J68)</f>
        <v/>
      </c>
      <c r="T6" s="113" t="str">
        <f>IF(S6="","",'1Y Pricing'!$I6*100)</f>
        <v/>
      </c>
      <c r="U6" s="113" t="str">
        <f>T6</f>
        <v/>
      </c>
      <c r="V6" s="112" t="str">
        <f t="array" ref="V6:V68">IF('ON Pricing'!H6:H68="","",'ON Pricing'!H6:H68)</f>
        <v/>
      </c>
      <c r="W6" s="113" t="str">
        <f>IF(V6="","",'ON Pricing'!$G6*100)</f>
        <v/>
      </c>
      <c r="X6" s="113" t="str">
        <f>W6</f>
        <v/>
      </c>
      <c r="Y6" s="112" t="str">
        <f t="array" ref="Y6:Y68">IF('STD Pricing'!H6:H68="","",'STD Pricing'!H6:H68)</f>
        <v/>
      </c>
      <c r="Z6" s="113" t="str">
        <f>IF(Y6="","",'STD Pricing'!$G6*100)</f>
        <v/>
      </c>
      <c r="AA6" s="113" t="str">
        <f>Z6</f>
        <v/>
      </c>
      <c r="AB6" s="23" t="s">
        <v>46</v>
      </c>
      <c r="AC6" s="141" t="str">
        <f>IF($C6=" ","",ROUND(ABS(_xll.RtGet(SourceAlias,$J6,BID)-K6),4))</f>
        <v/>
      </c>
      <c r="AD6" s="141" t="str">
        <f>IF($C6=" ","",ROUND(ABS(_xll.RtGet(SourceAlias,$J6,ASK)-L6),4))</f>
        <v/>
      </c>
      <c r="AE6" s="141" t="str">
        <f>IF($D6=" ","",ROUND(ABS(_xll.RtGet(SourceAlias,$M6,BID)-N6),4))</f>
        <v/>
      </c>
      <c r="AF6" s="141" t="str">
        <f>IF($D6=" ","",ROUND(ABS(_xll.RtGet(SourceAlias,$M6,ASK)-O6),4))</f>
        <v/>
      </c>
      <c r="AG6" s="141" t="str">
        <f>IF($E6=" ","",ROUND(ABS(_xll.RtGet(SourceAlias,$P6,BID)-Q6),4))</f>
        <v/>
      </c>
      <c r="AH6" s="141" t="str">
        <f>IF($E6=" ","",ROUND(ABS(_xll.RtGet(SourceAlias,$P6,ASK)-R6),4))</f>
        <v/>
      </c>
      <c r="AI6" s="141" t="str">
        <f>IF($F6=" ","",ROUND(ABS(_xll.RtGet(SourceAlias,$S6,BID)-T6),4))</f>
        <v/>
      </c>
      <c r="AJ6" s="141" t="str">
        <f>IF($F6=" ","",ROUND(ABS(_xll.RtGet(SourceAlias,$S6,ASK)-U6),4))</f>
        <v/>
      </c>
      <c r="AK6" s="141" t="str">
        <f>IF($G6=" ","",ROUND(ABS(_xll.RtGet(SourceAlias,$V6,BID)-W6),4))</f>
        <v/>
      </c>
      <c r="AL6" s="141" t="str">
        <f>IF($G6=" ","",ROUND(ABS(_xll.RtGet(SourceAlias,$V6,ASK)-X6),4))</f>
        <v/>
      </c>
      <c r="AM6" s="141" t="str">
        <f>IF($H6=" ","",ROUND(ABS(_xll.RtGet(SourceAlias,$Y6,BID)-Z6),4))</f>
        <v/>
      </c>
      <c r="AN6" s="141" t="str">
        <f>IF($H6=" ","",ROUND(ABS(_xll.RtGet(SourceAlias,$Y6,ASK)-AA6),4))</f>
        <v/>
      </c>
    </row>
    <row r="7" spans="1:40" ht="11.25" customHeight="1" x14ac:dyDescent="0.2">
      <c r="A7" s="195"/>
      <c r="B7" s="50" t="s">
        <v>96</v>
      </c>
      <c r="C7" s="89" t="s">
        <v>46</v>
      </c>
      <c r="D7" s="137" t="s">
        <v>46</v>
      </c>
      <c r="E7" s="89" t="s">
        <v>46</v>
      </c>
      <c r="F7" s="89" t="s">
        <v>46</v>
      </c>
      <c r="G7" s="138" t="s">
        <v>46</v>
      </c>
      <c r="H7" s="138" t="s">
        <v>46</v>
      </c>
      <c r="I7" s="18" t="s">
        <v>46</v>
      </c>
      <c r="J7" s="121" t="str">
        <v/>
      </c>
      <c r="K7" s="119" t="str">
        <f>IF(J7="","",'1M Pricing'!$I7*100)</f>
        <v/>
      </c>
      <c r="L7" s="119" t="str">
        <f t="shared" ref="L7:L31" si="0">K7</f>
        <v/>
      </c>
      <c r="M7" s="118" t="str">
        <v/>
      </c>
      <c r="N7" s="119" t="str">
        <f>IF(M7="","",'3M Pricing'!$I7*100)</f>
        <v/>
      </c>
      <c r="O7" s="119" t="str">
        <f t="shared" ref="O7:O31" si="1">N7</f>
        <v/>
      </c>
      <c r="P7" s="118" t="str">
        <v/>
      </c>
      <c r="Q7" s="119" t="str">
        <f>IF(P7="","",'6M Pricing'!$I7*100)</f>
        <v/>
      </c>
      <c r="R7" s="119" t="str">
        <f t="shared" ref="R7:R31" si="2">Q7</f>
        <v/>
      </c>
      <c r="S7" s="118" t="str">
        <v/>
      </c>
      <c r="T7" s="119" t="str">
        <f>IF(S7="","",'1Y Pricing'!$I7*100)</f>
        <v/>
      </c>
      <c r="U7" s="119" t="str">
        <f t="shared" ref="U7:U31" si="3">T7</f>
        <v/>
      </c>
      <c r="V7" s="121" t="str">
        <v/>
      </c>
      <c r="W7" s="119" t="str">
        <f>IF(V7="","",'ON Pricing'!$G7*100)</f>
        <v/>
      </c>
      <c r="X7" s="119" t="str">
        <f t="shared" ref="X7:X31" si="4">W7</f>
        <v/>
      </c>
      <c r="Y7" s="121" t="str">
        <v/>
      </c>
      <c r="Z7" s="119" t="str">
        <f>IF(Y7="","",'STD Pricing'!$G7*100)</f>
        <v/>
      </c>
      <c r="AA7" s="119" t="str">
        <f t="shared" ref="AA7:AA68" si="5">Z7</f>
        <v/>
      </c>
      <c r="AB7" s="23" t="s">
        <v>46</v>
      </c>
      <c r="AC7" s="144" t="str">
        <f>IF($C7=" ","",ROUND(ABS(_xll.RtGet(SourceAlias,$J7,BID)-K7),4))</f>
        <v/>
      </c>
      <c r="AD7" s="144" t="str">
        <f>IF($C7=" ","",ROUND(ABS(_xll.RtGet(SourceAlias,$J7,ASK)-L7),4))</f>
        <v/>
      </c>
      <c r="AE7" s="144" t="str">
        <f>IF($D7=" ","",ROUND(ABS(_xll.RtGet(SourceAlias,$M7,BID)-N7),4))</f>
        <v/>
      </c>
      <c r="AF7" s="144" t="str">
        <f>IF($D7=" ","",ROUND(ABS(_xll.RtGet(SourceAlias,$M7,ASK)-O7),4))</f>
        <v/>
      </c>
      <c r="AG7" s="144" t="str">
        <f>IF($E7=" ","",ROUND(ABS(_xll.RtGet(SourceAlias,$P7,BID)-Q7),4))</f>
        <v/>
      </c>
      <c r="AH7" s="144" t="str">
        <f>IF($E7=" ","",ROUND(ABS(_xll.RtGet(SourceAlias,$P7,ASK)-R7),4))</f>
        <v/>
      </c>
      <c r="AI7" s="144" t="str">
        <f>IF($F7=" ","",ROUND(ABS(_xll.RtGet(SourceAlias,$S7,BID)-T7),4))</f>
        <v/>
      </c>
      <c r="AJ7" s="144" t="str">
        <f>IF($F7=" ","",ROUND(ABS(_xll.RtGet(SourceAlias,$S7,ASK)-U7),4))</f>
        <v/>
      </c>
      <c r="AK7" s="144" t="str">
        <f>IF($G7=" ","",ROUND(ABS(_xll.RtGet(SourceAlias,$V7,BID)-W7),4))</f>
        <v/>
      </c>
      <c r="AL7" s="144" t="str">
        <f>IF($G7=" ","",ROUND(ABS(_xll.RtGet(SourceAlias,$V7,ASK)-X7),4))</f>
        <v/>
      </c>
      <c r="AM7" s="144" t="str">
        <f>IF($H7=" ","",ROUND(ABS(_xll.RtGet(SourceAlias,$Y7,BID)-Z7),4))</f>
        <v/>
      </c>
      <c r="AN7" s="144" t="str">
        <f>IF($H7=" ","",ROUND(ABS(_xll.RtGet(SourceAlias,$Y7,ASK)-AA7),4))</f>
        <v/>
      </c>
    </row>
    <row r="8" spans="1:40" ht="11.25" customHeight="1" x14ac:dyDescent="0.2">
      <c r="A8" s="195"/>
      <c r="B8" s="48" t="s">
        <v>97</v>
      </c>
      <c r="C8" s="83" t="s">
        <v>46</v>
      </c>
      <c r="D8" s="83" t="s">
        <v>46</v>
      </c>
      <c r="E8" s="83" t="s">
        <v>46</v>
      </c>
      <c r="F8" s="83" t="s">
        <v>46</v>
      </c>
      <c r="G8" s="135" t="s">
        <v>46</v>
      </c>
      <c r="H8" s="135" t="s">
        <v>46</v>
      </c>
      <c r="I8" s="18" t="s">
        <v>46</v>
      </c>
      <c r="J8" s="112" t="str">
        <v/>
      </c>
      <c r="K8" s="113" t="str">
        <f>IF(J8="","",'1M Pricing'!$I8*100)</f>
        <v/>
      </c>
      <c r="L8" s="113" t="str">
        <f t="shared" si="0"/>
        <v/>
      </c>
      <c r="M8" s="114" t="str">
        <v/>
      </c>
      <c r="N8" s="113" t="str">
        <f>IF(M8="","",'3M Pricing'!$I8*100)</f>
        <v/>
      </c>
      <c r="O8" s="113" t="str">
        <f t="shared" si="1"/>
        <v/>
      </c>
      <c r="P8" s="114" t="str">
        <v/>
      </c>
      <c r="Q8" s="113" t="str">
        <f>IF(P8="","",'6M Pricing'!$I8*100)</f>
        <v/>
      </c>
      <c r="R8" s="113" t="str">
        <f t="shared" si="2"/>
        <v/>
      </c>
      <c r="S8" s="114" t="str">
        <v/>
      </c>
      <c r="T8" s="113" t="str">
        <f>IF(S8="","",'1Y Pricing'!$I8*100)</f>
        <v/>
      </c>
      <c r="U8" s="113" t="str">
        <f t="shared" si="3"/>
        <v/>
      </c>
      <c r="V8" s="112" t="str">
        <v/>
      </c>
      <c r="W8" s="113" t="str">
        <f>IF(V8="","",'ON Pricing'!$G8*100)</f>
        <v/>
      </c>
      <c r="X8" s="113" t="str">
        <f t="shared" si="4"/>
        <v/>
      </c>
      <c r="Y8" s="112" t="str">
        <v/>
      </c>
      <c r="Z8" s="113" t="str">
        <f>IF(Y8="","",'STD Pricing'!$G8*100)</f>
        <v/>
      </c>
      <c r="AA8" s="113" t="str">
        <f t="shared" si="5"/>
        <v/>
      </c>
      <c r="AB8" s="23" t="s">
        <v>46</v>
      </c>
      <c r="AC8" s="141" t="str">
        <f>IF($C8=" ","",ROUND(ABS(_xll.RtGet(SourceAlias,$J8,BID)-K8),4))</f>
        <v/>
      </c>
      <c r="AD8" s="141" t="str">
        <f>IF($C8=" ","",ROUND(ABS(_xll.RtGet(SourceAlias,$J8,ASK)-L8),4))</f>
        <v/>
      </c>
      <c r="AE8" s="141" t="str">
        <f>IF($D8=" ","",ROUND(ABS(_xll.RtGet(SourceAlias,$M8,BID)-N8),4))</f>
        <v/>
      </c>
      <c r="AF8" s="141" t="str">
        <f>IF($D8=" ","",ROUND(ABS(_xll.RtGet(SourceAlias,$M8,ASK)-O8),4))</f>
        <v/>
      </c>
      <c r="AG8" s="141" t="str">
        <f>IF($E8=" ","",ROUND(ABS(_xll.RtGet(SourceAlias,$P8,BID)-Q8),4))</f>
        <v/>
      </c>
      <c r="AH8" s="141" t="str">
        <f>IF($E8=" ","",ROUND(ABS(_xll.RtGet(SourceAlias,$P8,ASK)-R8),4))</f>
        <v/>
      </c>
      <c r="AI8" s="141" t="str">
        <f>IF($F8=" ","",ROUND(ABS(_xll.RtGet(SourceAlias,$S8,BID)-T8),4))</f>
        <v/>
      </c>
      <c r="AJ8" s="141" t="str">
        <f>IF($F8=" ","",ROUND(ABS(_xll.RtGet(SourceAlias,$S8,ASK)-U8),4))</f>
        <v/>
      </c>
      <c r="AK8" s="141" t="str">
        <f>IF($G8=" ","",ROUND(ABS(_xll.RtGet(SourceAlias,$V8,BID)-W8),4))</f>
        <v/>
      </c>
      <c r="AL8" s="141" t="str">
        <f>IF($G8=" ","",ROUND(ABS(_xll.RtGet(SourceAlias,$V8,ASK)-X8),4))</f>
        <v/>
      </c>
      <c r="AM8" s="141" t="str">
        <f>IF($H8=" ","",ROUND(ABS(_xll.RtGet(SourceAlias,$Y8,BID)-Z8),4))</f>
        <v/>
      </c>
      <c r="AN8" s="141" t="str">
        <f>IF($H8=" ","",ROUND(ABS(_xll.RtGet(SourceAlias,$Y8,ASK)-AA8),4))</f>
        <v/>
      </c>
    </row>
    <row r="9" spans="1:40" ht="11.25" customHeight="1" x14ac:dyDescent="0.2">
      <c r="A9" s="195"/>
      <c r="B9" s="49" t="s">
        <v>69</v>
      </c>
      <c r="C9" s="86" t="s">
        <v>46</v>
      </c>
      <c r="D9" s="86" t="s">
        <v>46</v>
      </c>
      <c r="E9" s="86" t="s">
        <v>46</v>
      </c>
      <c r="F9" s="86" t="s">
        <v>46</v>
      </c>
      <c r="G9" s="136" t="str">
        <f>IF(Contribute="abcd",IF($E$2&lt;&gt;-1,_xll.RtContribute(SourceAlias,V9,Fields,W9:X9,"SCOPE:SERVER"),_xll.RtContribute(SourceAlias,"DDS_INSERT_S",$E$2:$G$2,V9:X9,"SCOPE:SERVER FTC:ALL")),"stopped")</f>
        <v>stopped</v>
      </c>
      <c r="H9" s="136" t="s">
        <v>46</v>
      </c>
      <c r="I9" s="18" t="s">
        <v>46</v>
      </c>
      <c r="J9" s="115" t="str">
        <v>USD_CURVE_DEP1M_1W</v>
      </c>
      <c r="K9" s="116">
        <f>IF(J9="","",'1M Pricing'!$I9*100)</f>
        <v>0.24961785256508556</v>
      </c>
      <c r="L9" s="116">
        <f t="shared" si="0"/>
        <v>0.24961785256508556</v>
      </c>
      <c r="M9" s="117" t="str">
        <v>USD_CURVE_DEP3M_1W</v>
      </c>
      <c r="N9" s="116">
        <f>IF(M9="","",'3M Pricing'!$I9*100)</f>
        <v>0.27346178882936556</v>
      </c>
      <c r="O9" s="116">
        <f t="shared" si="1"/>
        <v>0.27346178882936556</v>
      </c>
      <c r="P9" s="117" t="str">
        <v>USD_CURVE_DEP6M_1W</v>
      </c>
      <c r="Q9" s="116">
        <f>IF(P9="","",'6M Pricing'!$I9*100)</f>
        <v>0.52087701821688726</v>
      </c>
      <c r="R9" s="116">
        <f t="shared" si="2"/>
        <v>0.52087701821688726</v>
      </c>
      <c r="S9" s="117" t="str">
        <v>USD_CURVE_DEP12M_1W</v>
      </c>
      <c r="T9" s="116">
        <f>IF(S9="","",'1Y Pricing'!$I9*100)</f>
        <v>0.87861610748975383</v>
      </c>
      <c r="U9" s="116">
        <f t="shared" si="3"/>
        <v>0.87861610748975383</v>
      </c>
      <c r="V9" s="115" t="str">
        <v>USD_CURVE_OIS_1W</v>
      </c>
      <c r="W9" s="116">
        <f>IF(V9="","",'ON Pricing'!$G9*100)</f>
        <v>0.15000000001525696</v>
      </c>
      <c r="X9" s="116">
        <f t="shared" si="4"/>
        <v>0.15000000001525696</v>
      </c>
      <c r="Y9" s="115" t="str">
        <v/>
      </c>
      <c r="Z9" s="116" t="str">
        <f>IF(Y9="","",'STD Pricing'!$G9*100)</f>
        <v/>
      </c>
      <c r="AA9" s="116" t="str">
        <f t="shared" si="5"/>
        <v/>
      </c>
      <c r="AB9" s="23" t="s">
        <v>46</v>
      </c>
      <c r="AC9" s="142" t="str">
        <f>IF($C9=" ","",ROUND(ABS(_xll.RtGet(SourceAlias,$J9,BID)-K9),4))</f>
        <v/>
      </c>
      <c r="AD9" s="142" t="str">
        <f>IF($C9=" ","",ROUND(ABS(_xll.RtGet(SourceAlias,$J9,ASK)-L9),4))</f>
        <v/>
      </c>
      <c r="AE9" s="142" t="str">
        <f>IF($D9=" ","",ROUND(ABS(_xll.RtGet(SourceAlias,$M9,BID)-N9),4))</f>
        <v/>
      </c>
      <c r="AF9" s="142" t="str">
        <f>IF($D9=" ","",ROUND(ABS(_xll.RtGet(SourceAlias,$M9,ASK)-O9),4))</f>
        <v/>
      </c>
      <c r="AG9" s="142" t="str">
        <f>IF($E9=" ","",ROUND(ABS(_xll.RtGet(SourceAlias,$P9,BID)-Q9),4))</f>
        <v/>
      </c>
      <c r="AH9" s="142" t="str">
        <f>IF($E9=" ","",ROUND(ABS(_xll.RtGet(SourceAlias,$P9,ASK)-R9),4))</f>
        <v/>
      </c>
      <c r="AI9" s="142" t="str">
        <f>IF($F9=" ","",ROUND(ABS(_xll.RtGet(SourceAlias,$S9,BID)-T9),4))</f>
        <v/>
      </c>
      <c r="AJ9" s="142" t="str">
        <f>IF($F9=" ","",ROUND(ABS(_xll.RtGet(SourceAlias,$S9,ASK)-U9),4))</f>
        <v/>
      </c>
      <c r="AK9" s="142">
        <f>IF($G9=" ","",ROUND(ABS(_xll.RtGet(SourceAlias,$V9,BID)-W9),4))</f>
        <v>0</v>
      </c>
      <c r="AL9" s="142">
        <f>IF($G9=" ","",ROUND(ABS(_xll.RtGet(SourceAlias,$V9,ASK)-X9),4))</f>
        <v>0</v>
      </c>
      <c r="AM9" s="142" t="str">
        <f>IF($H9=" ","",ROUND(ABS(_xll.RtGet(SourceAlias,$Y9,BID)-Z9),4))</f>
        <v/>
      </c>
      <c r="AN9" s="142" t="str">
        <f>IF($H9=" ","",ROUND(ABS(_xll.RtGet(SourceAlias,$Y9,ASK)-AA9),4))</f>
        <v/>
      </c>
    </row>
    <row r="10" spans="1:40" ht="11.25" customHeight="1" x14ac:dyDescent="0.2">
      <c r="A10" s="195"/>
      <c r="B10" s="49" t="s">
        <v>15</v>
      </c>
      <c r="C10" s="86" t="s">
        <v>46</v>
      </c>
      <c r="D10" s="86" t="s">
        <v>46</v>
      </c>
      <c r="E10" s="86" t="s">
        <v>46</v>
      </c>
      <c r="F10" s="86" t="s">
        <v>46</v>
      </c>
      <c r="G10" s="136" t="str">
        <f>IF(Contribute="abcd",IF($E$2&lt;&gt;-1,_xll.RtContribute(SourceAlias,V10,Fields,W10:X10,"SCOPE:SERVER"),_xll.RtContribute(SourceAlias,"DDS_INSERT_S",$E$2:$G$2,V10:X10,"SCOPE:SERVER FTC:ALL")),"stopped")</f>
        <v>stopped</v>
      </c>
      <c r="H10" s="136" t="s">
        <v>46</v>
      </c>
      <c r="I10" s="18" t="s">
        <v>46</v>
      </c>
      <c r="J10" s="115" t="str">
        <v>USD_CURVE_DEP1M_2W</v>
      </c>
      <c r="K10" s="116">
        <f>IF(J10="","",'1M Pricing'!$I10*100)</f>
        <v>0.25003990689942412</v>
      </c>
      <c r="L10" s="116">
        <f t="shared" si="0"/>
        <v>0.25003990689942412</v>
      </c>
      <c r="M10" s="117" t="str">
        <v>USD_CURVE_DEP3M_2W</v>
      </c>
      <c r="N10" s="116">
        <f>IF(M10="","",'3M Pricing'!$I10*100)</f>
        <v>0.27513827828976439</v>
      </c>
      <c r="O10" s="116">
        <f t="shared" si="1"/>
        <v>0.27513827828976439</v>
      </c>
      <c r="P10" s="117" t="str">
        <v>USD_CURVE_DEP6M_2W</v>
      </c>
      <c r="Q10" s="116">
        <f>IF(P10="","",'6M Pricing'!$I10*100)</f>
        <v>0.5204123520587649</v>
      </c>
      <c r="R10" s="116">
        <f t="shared" si="2"/>
        <v>0.5204123520587649</v>
      </c>
      <c r="S10" s="117" t="str">
        <v>USD_CURVE_DEP12M_2W</v>
      </c>
      <c r="T10" s="116">
        <f>IF(S10="","",'1Y Pricing'!$I10*100)</f>
        <v>0.87845170076437729</v>
      </c>
      <c r="U10" s="116">
        <f t="shared" si="3"/>
        <v>0.87845170076437729</v>
      </c>
      <c r="V10" s="115" t="str">
        <v>USD_CURVE_OIS_2W</v>
      </c>
      <c r="W10" s="116">
        <f>IF(V10="","",'ON Pricing'!$G10*100)</f>
        <v>0.17100000024772299</v>
      </c>
      <c r="X10" s="116">
        <f t="shared" si="4"/>
        <v>0.17100000024772299</v>
      </c>
      <c r="Y10" s="115" t="str">
        <v/>
      </c>
      <c r="Z10" s="116" t="str">
        <f>IF(Y10="","",'STD Pricing'!$G10*100)</f>
        <v/>
      </c>
      <c r="AA10" s="116" t="str">
        <f t="shared" si="5"/>
        <v/>
      </c>
      <c r="AB10" s="23" t="s">
        <v>46</v>
      </c>
      <c r="AC10" s="142" t="str">
        <f>IF($C10=" ","",ROUND(ABS(_xll.RtGet(SourceAlias,$J10,BID)-K10),4))</f>
        <v/>
      </c>
      <c r="AD10" s="142" t="str">
        <f>IF($C10=" ","",ROUND(ABS(_xll.RtGet(SourceAlias,$J10,ASK)-L10),4))</f>
        <v/>
      </c>
      <c r="AE10" s="142" t="str">
        <f>IF($D10=" ","",ROUND(ABS(_xll.RtGet(SourceAlias,$M10,BID)-N10),4))</f>
        <v/>
      </c>
      <c r="AF10" s="142" t="str">
        <f>IF($D10=" ","",ROUND(ABS(_xll.RtGet(SourceAlias,$M10,ASK)-O10),4))</f>
        <v/>
      </c>
      <c r="AG10" s="142" t="str">
        <f>IF($E10=" ","",ROUND(ABS(_xll.RtGet(SourceAlias,$P10,BID)-Q10),4))</f>
        <v/>
      </c>
      <c r="AH10" s="142" t="str">
        <f>IF($E10=" ","",ROUND(ABS(_xll.RtGet(SourceAlias,$P10,ASK)-R10),4))</f>
        <v/>
      </c>
      <c r="AI10" s="142" t="str">
        <f>IF($F10=" ","",ROUND(ABS(_xll.RtGet(SourceAlias,$S10,BID)-T10),4))</f>
        <v/>
      </c>
      <c r="AJ10" s="142" t="str">
        <f>IF($F10=" ","",ROUND(ABS(_xll.RtGet(SourceAlias,$S10,ASK)-U10),4))</f>
        <v/>
      </c>
      <c r="AK10" s="142">
        <f>IF($G10=" ","",ROUND(ABS(_xll.RtGet(SourceAlias,$V10,BID)-W10),4))</f>
        <v>0</v>
      </c>
      <c r="AL10" s="142">
        <f>IF($G10=" ","",ROUND(ABS(_xll.RtGet(SourceAlias,$V10,ASK)-X10),4))</f>
        <v>0</v>
      </c>
      <c r="AM10" s="142" t="str">
        <f>IF($H10=" ","",ROUND(ABS(_xll.RtGet(SourceAlias,$Y10,BID)-Z10),4))</f>
        <v/>
      </c>
      <c r="AN10" s="142" t="str">
        <f>IF($H10=" ","",ROUND(ABS(_xll.RtGet(SourceAlias,$Y10,ASK)-AA10),4))</f>
        <v/>
      </c>
    </row>
    <row r="11" spans="1:40" ht="11.25" customHeight="1" x14ac:dyDescent="0.2">
      <c r="A11" s="195"/>
      <c r="B11" s="49" t="s">
        <v>71</v>
      </c>
      <c r="C11" s="86" t="s">
        <v>46</v>
      </c>
      <c r="D11" s="86" t="s">
        <v>46</v>
      </c>
      <c r="E11" s="86" t="s">
        <v>46</v>
      </c>
      <c r="F11" s="86" t="s">
        <v>46</v>
      </c>
      <c r="G11" s="136" t="str">
        <f>IF(Contribute="abcd",IF($E$2&lt;&gt;-1,_xll.RtContribute(SourceAlias,V11,Fields,W11:X11,"SCOPE:SERVER"),_xll.RtContribute(SourceAlias,"DDS_INSERT_S",$E$2:$G$2,V11:X11,"SCOPE:SERVER FTC:ALL")),"stopped")</f>
        <v>stopped</v>
      </c>
      <c r="H11" s="136" t="s">
        <v>46</v>
      </c>
      <c r="I11" s="18" t="s">
        <v>46</v>
      </c>
      <c r="J11" s="115" t="str">
        <v>USD_CURVE_DEP1M_3W</v>
      </c>
      <c r="K11" s="116">
        <f>IF(J11="","",'1M Pricing'!$I11*100)</f>
        <v>0.25073934654657698</v>
      </c>
      <c r="L11" s="116">
        <f t="shared" si="0"/>
        <v>0.25073934654657698</v>
      </c>
      <c r="M11" s="117" t="str">
        <v>USD_CURVE_DEP3M_3W</v>
      </c>
      <c r="N11" s="116">
        <f>IF(M11="","",'3M Pricing'!$I11*100)</f>
        <v>0.27792782172905306</v>
      </c>
      <c r="O11" s="116">
        <f t="shared" si="1"/>
        <v>0.27792782172905306</v>
      </c>
      <c r="P11" s="117" t="str">
        <v>USD_CURVE_DEP6M_3W</v>
      </c>
      <c r="Q11" s="116">
        <f>IF(P11="","",'6M Pricing'!$I11*100)</f>
        <v>0.51962019290106654</v>
      </c>
      <c r="R11" s="116">
        <f t="shared" si="2"/>
        <v>0.51962019290106654</v>
      </c>
      <c r="S11" s="117" t="str">
        <v>USD_CURVE_DEP12M_3W</v>
      </c>
      <c r="T11" s="116">
        <f>IF(S11="","",'1Y Pricing'!$I11*100)</f>
        <v>0.87812755424998556</v>
      </c>
      <c r="U11" s="116">
        <f t="shared" si="3"/>
        <v>0.87812755424998556</v>
      </c>
      <c r="V11" s="115" t="str">
        <v>USD_CURVE_OIS_3W</v>
      </c>
      <c r="W11" s="116">
        <f>IF(V11="","",'ON Pricing'!$G11*100)</f>
        <v>0.17799999948512177</v>
      </c>
      <c r="X11" s="116">
        <f t="shared" si="4"/>
        <v>0.17799999948512177</v>
      </c>
      <c r="Y11" s="115" t="str">
        <v/>
      </c>
      <c r="Z11" s="116" t="str">
        <f>IF(Y11="","",'STD Pricing'!$G11*100)</f>
        <v/>
      </c>
      <c r="AA11" s="116" t="str">
        <f t="shared" si="5"/>
        <v/>
      </c>
      <c r="AB11" s="23" t="s">
        <v>46</v>
      </c>
      <c r="AC11" s="142" t="str">
        <f>IF($C11=" ","",ROUND(ABS(_xll.RtGet(SourceAlias,$J11,BID)-K11),4))</f>
        <v/>
      </c>
      <c r="AD11" s="142" t="str">
        <f>IF($C11=" ","",ROUND(ABS(_xll.RtGet(SourceAlias,$J11,ASK)-L11),4))</f>
        <v/>
      </c>
      <c r="AE11" s="142" t="str">
        <f>IF($D11=" ","",ROUND(ABS(_xll.RtGet(SourceAlias,$M11,BID)-N11),4))</f>
        <v/>
      </c>
      <c r="AF11" s="142" t="str">
        <f>IF($D11=" ","",ROUND(ABS(_xll.RtGet(SourceAlias,$M11,ASK)-O11),4))</f>
        <v/>
      </c>
      <c r="AG11" s="142" t="str">
        <f>IF($E11=" ","",ROUND(ABS(_xll.RtGet(SourceAlias,$P11,BID)-Q11),4))</f>
        <v/>
      </c>
      <c r="AH11" s="142" t="str">
        <f>IF($E11=" ","",ROUND(ABS(_xll.RtGet(SourceAlias,$P11,ASK)-R11),4))</f>
        <v/>
      </c>
      <c r="AI11" s="142" t="str">
        <f>IF($F11=" ","",ROUND(ABS(_xll.RtGet(SourceAlias,$S11,BID)-T11),4))</f>
        <v/>
      </c>
      <c r="AJ11" s="142" t="str">
        <f>IF($F11=" ","",ROUND(ABS(_xll.RtGet(SourceAlias,$S11,ASK)-U11),4))</f>
        <v/>
      </c>
      <c r="AK11" s="142">
        <f>IF($G11=" ","",ROUND(ABS(_xll.RtGet(SourceAlias,$V11,BID)-W11),4))</f>
        <v>0</v>
      </c>
      <c r="AL11" s="142">
        <f>IF($G11=" ","",ROUND(ABS(_xll.RtGet(SourceAlias,$V11,ASK)-X11),4))</f>
        <v>0</v>
      </c>
      <c r="AM11" s="142" t="str">
        <f>IF($H11=" ","",ROUND(ABS(_xll.RtGet(SourceAlias,$Y11,BID)-Z11),4))</f>
        <v/>
      </c>
      <c r="AN11" s="142" t="str">
        <f>IF($H11=" ","",ROUND(ABS(_xll.RtGet(SourceAlias,$Y11,ASK)-AA11),4))</f>
        <v/>
      </c>
    </row>
    <row r="12" spans="1:40" ht="11.25" customHeight="1" x14ac:dyDescent="0.2">
      <c r="A12" s="195"/>
      <c r="B12" s="49" t="s">
        <v>16</v>
      </c>
      <c r="C12" s="86" t="s">
        <v>46</v>
      </c>
      <c r="D12" s="139" t="s">
        <v>46</v>
      </c>
      <c r="E12" s="86" t="s">
        <v>46</v>
      </c>
      <c r="F12" s="86" t="s">
        <v>46</v>
      </c>
      <c r="G12" s="136" t="str">
        <f>IF(Contribute="abcd",IF($E$2&lt;&gt;-1,_xll.RtContribute(SourceAlias,V12,Fields,W12:X12,"SCOPE:SERVER"),_xll.RtContribute(SourceAlias,"DDS_INSERT_S",$E$2:$G$2,V12:X12,"SCOPE:SERVER FTC:ALL")),"stopped")</f>
        <v>stopped</v>
      </c>
      <c r="H12" s="136" t="s">
        <v>46</v>
      </c>
      <c r="I12" s="18" t="s">
        <v>46</v>
      </c>
      <c r="J12" s="115" t="str">
        <v>USD_CURVE_DEP1M_1M</v>
      </c>
      <c r="K12" s="116">
        <f>IF(J12="","",'1M Pricing'!$I12*100)</f>
        <v>0.25258385007553841</v>
      </c>
      <c r="L12" s="116">
        <f t="shared" si="0"/>
        <v>0.25258385007553841</v>
      </c>
      <c r="M12" s="117" t="str">
        <v>USD_CURVE_DEP3M_1M</v>
      </c>
      <c r="N12" s="116">
        <f>IF(M12="","",'3M Pricing'!$I12*100)</f>
        <v>0.28529999999998329</v>
      </c>
      <c r="O12" s="116">
        <f t="shared" si="1"/>
        <v>0.28529999999998329</v>
      </c>
      <c r="P12" s="117" t="str">
        <v>USD_CURVE_DEP6M_1M</v>
      </c>
      <c r="Q12" s="116">
        <f>IF(P12="","",'6M Pricing'!$I12*100)</f>
        <v>0.51750000000002927</v>
      </c>
      <c r="R12" s="116">
        <f t="shared" si="2"/>
        <v>0.51750000000002927</v>
      </c>
      <c r="S12" s="117" t="str">
        <v>USD_CURVE_DEP12M_1M</v>
      </c>
      <c r="T12" s="116">
        <f>IF(S12="","",'1Y Pricing'!$I12*100)</f>
        <v>0.87719999999912412</v>
      </c>
      <c r="U12" s="116">
        <f t="shared" si="3"/>
        <v>0.87719999999912412</v>
      </c>
      <c r="V12" s="115" t="str">
        <v>USD_CURVE_OIS_1M</v>
      </c>
      <c r="W12" s="116">
        <f>IF(V12="","",'ON Pricing'!$G12*100)</f>
        <v>0.18099999972130057</v>
      </c>
      <c r="X12" s="116">
        <f t="shared" si="4"/>
        <v>0.18099999972130057</v>
      </c>
      <c r="Y12" s="115" t="str">
        <v/>
      </c>
      <c r="Z12" s="116" t="str">
        <f>IF(Y12="","",'STD Pricing'!$G12*100)</f>
        <v/>
      </c>
      <c r="AA12" s="116" t="str">
        <f t="shared" si="5"/>
        <v/>
      </c>
      <c r="AB12" s="23" t="s">
        <v>46</v>
      </c>
      <c r="AC12" s="142" t="str">
        <f>IF($C12=" ","",ROUND(ABS(_xll.RtGet(SourceAlias,$J12,BID)-K12),4))</f>
        <v/>
      </c>
      <c r="AD12" s="142" t="str">
        <f>IF($C12=" ","",ROUND(ABS(_xll.RtGet(SourceAlias,$J12,ASK)-L12),4))</f>
        <v/>
      </c>
      <c r="AE12" s="142" t="str">
        <f>IF($D12=" ","",ROUND(ABS(_xll.RtGet(SourceAlias,$M12,BID)-N12),4))</f>
        <v/>
      </c>
      <c r="AF12" s="142" t="str">
        <f>IF($D12=" ","",ROUND(ABS(_xll.RtGet(SourceAlias,$M12,ASK)-O12),4))</f>
        <v/>
      </c>
      <c r="AG12" s="142" t="str">
        <f>IF($E12=" ","",ROUND(ABS(_xll.RtGet(SourceAlias,$P12,BID)-Q12),4))</f>
        <v/>
      </c>
      <c r="AH12" s="142" t="str">
        <f>IF($E12=" ","",ROUND(ABS(_xll.RtGet(SourceAlias,$P12,ASK)-R12),4))</f>
        <v/>
      </c>
      <c r="AI12" s="142" t="str">
        <f>IF($F12=" ","",ROUND(ABS(_xll.RtGet(SourceAlias,$S12,BID)-T12),4))</f>
        <v/>
      </c>
      <c r="AJ12" s="142" t="str">
        <f>IF($F12=" ","",ROUND(ABS(_xll.RtGet(SourceAlias,$S12,ASK)-U12),4))</f>
        <v/>
      </c>
      <c r="AK12" s="142">
        <f>IF($G12=" ","",ROUND(ABS(_xll.RtGet(SourceAlias,$V12,BID)-W12),4))</f>
        <v>0</v>
      </c>
      <c r="AL12" s="142">
        <f>IF($G12=" ","",ROUND(ABS(_xll.RtGet(SourceAlias,$V12,ASK)-X12),4))</f>
        <v>0</v>
      </c>
      <c r="AM12" s="142" t="str">
        <f>IF($H12=" ","",ROUND(ABS(_xll.RtGet(SourceAlias,$Y12,BID)-Z12),4))</f>
        <v/>
      </c>
      <c r="AN12" s="142" t="str">
        <f>IF($H12=" ","",ROUND(ABS(_xll.RtGet(SourceAlias,$Y12,ASK)-AA12),4))</f>
        <v/>
      </c>
    </row>
    <row r="13" spans="1:40" ht="11.25" customHeight="1" x14ac:dyDescent="0.2">
      <c r="A13" s="195"/>
      <c r="B13" s="49" t="s">
        <v>17</v>
      </c>
      <c r="C13" s="86" t="s">
        <v>46</v>
      </c>
      <c r="D13" s="139" t="s">
        <v>46</v>
      </c>
      <c r="E13" s="86" t="s">
        <v>46</v>
      </c>
      <c r="F13" s="86" t="s">
        <v>46</v>
      </c>
      <c r="G13" s="136" t="str">
        <f>IF(Contribute="abcd",IF($E$2&lt;&gt;-1,_xll.RtContribute(SourceAlias,V13,Fields,W13:X13,"SCOPE:SERVER"),_xll.RtContribute(SourceAlias,"DDS_INSERT_S",$E$2:$G$2,V13:X13,"SCOPE:SERVER FTC:ALL")),"stopped")</f>
        <v>stopped</v>
      </c>
      <c r="H13" s="136" t="s">
        <v>46</v>
      </c>
      <c r="I13" s="18" t="s">
        <v>46</v>
      </c>
      <c r="J13" s="115" t="str">
        <v>USD_CURVE_DEP1M_2M</v>
      </c>
      <c r="K13" s="116">
        <f>IF(J13="","",'1M Pricing'!$I13*100)</f>
        <v>0.26005949000452883</v>
      </c>
      <c r="L13" s="116">
        <f t="shared" si="0"/>
        <v>0.26005949000452883</v>
      </c>
      <c r="M13" s="117" t="str">
        <v>USD_CURVE_DEP3M_2M</v>
      </c>
      <c r="N13" s="116">
        <f>IF(M13="","",'3M Pricing'!$I13*100)</f>
        <v>0.30909999999996562</v>
      </c>
      <c r="O13" s="116">
        <f t="shared" si="1"/>
        <v>0.30909999999996562</v>
      </c>
      <c r="P13" s="117" t="str">
        <v>USD_CURVE_DEP6M_2M</v>
      </c>
      <c r="Q13" s="116">
        <f>IF(P13="","",'6M Pricing'!$I13*100)</f>
        <v>0.51060000000010963</v>
      </c>
      <c r="R13" s="116">
        <f t="shared" si="2"/>
        <v>0.51060000000010963</v>
      </c>
      <c r="S13" s="117" t="str">
        <v>USD_CURVE_DEP12M_2M</v>
      </c>
      <c r="T13" s="116">
        <f>IF(S13="","",'1Y Pricing'!$I13*100)</f>
        <v>0.8727999999986783</v>
      </c>
      <c r="U13" s="116">
        <f t="shared" si="3"/>
        <v>0.8727999999986783</v>
      </c>
      <c r="V13" s="115" t="str">
        <v>USD_CURVE_OIS_2M</v>
      </c>
      <c r="W13" s="116">
        <f>IF(V13="","",'ON Pricing'!$G13*100)</f>
        <v>0.19599999984686328</v>
      </c>
      <c r="X13" s="116">
        <f t="shared" si="4"/>
        <v>0.19599999984686328</v>
      </c>
      <c r="Y13" s="115" t="str">
        <v/>
      </c>
      <c r="Z13" s="116" t="str">
        <f>IF(Y13="","",'STD Pricing'!$G13*100)</f>
        <v/>
      </c>
      <c r="AA13" s="116" t="str">
        <f t="shared" si="5"/>
        <v/>
      </c>
      <c r="AB13" s="23" t="s">
        <v>46</v>
      </c>
      <c r="AC13" s="142" t="str">
        <f>IF($C13=" ","",ROUND(ABS(_xll.RtGet(SourceAlias,$J13,BID)-K13),4))</f>
        <v/>
      </c>
      <c r="AD13" s="142" t="str">
        <f>IF($C13=" ","",ROUND(ABS(_xll.RtGet(SourceAlias,$J13,ASK)-L13),4))</f>
        <v/>
      </c>
      <c r="AE13" s="142" t="str">
        <f>IF($D13=" ","",ROUND(ABS(_xll.RtGet(SourceAlias,$M13,BID)-N13),4))</f>
        <v/>
      </c>
      <c r="AF13" s="142" t="str">
        <f>IF($D13=" ","",ROUND(ABS(_xll.RtGet(SourceAlias,$M13,ASK)-O13),4))</f>
        <v/>
      </c>
      <c r="AG13" s="142" t="str">
        <f>IF($E13=" ","",ROUND(ABS(_xll.RtGet(SourceAlias,$P13,BID)-Q13),4))</f>
        <v/>
      </c>
      <c r="AH13" s="142" t="str">
        <f>IF($E13=" ","",ROUND(ABS(_xll.RtGet(SourceAlias,$P13,ASK)-R13),4))</f>
        <v/>
      </c>
      <c r="AI13" s="142" t="str">
        <f>IF($F13=" ","",ROUND(ABS(_xll.RtGet(SourceAlias,$S13,BID)-T13),4))</f>
        <v/>
      </c>
      <c r="AJ13" s="142" t="str">
        <f>IF($F13=" ","",ROUND(ABS(_xll.RtGet(SourceAlias,$S13,ASK)-U13),4))</f>
        <v/>
      </c>
      <c r="AK13" s="142">
        <f>IF($G13=" ","",ROUND(ABS(_xll.RtGet(SourceAlias,$V13,BID)-W13),4))</f>
        <v>0</v>
      </c>
      <c r="AL13" s="142">
        <f>IF($G13=" ","",ROUND(ABS(_xll.RtGet(SourceAlias,$V13,ASK)-X13),4))</f>
        <v>0</v>
      </c>
      <c r="AM13" s="142" t="str">
        <f>IF($H13=" ","",ROUND(ABS(_xll.RtGet(SourceAlias,$Y13,BID)-Z13),4))</f>
        <v/>
      </c>
      <c r="AN13" s="142" t="str">
        <f>IF($H13=" ","",ROUND(ABS(_xll.RtGet(SourceAlias,$Y13,ASK)-AA13),4))</f>
        <v/>
      </c>
    </row>
    <row r="14" spans="1:40" ht="11.25" customHeight="1" x14ac:dyDescent="0.2">
      <c r="A14" s="195"/>
      <c r="B14" s="49" t="s">
        <v>18</v>
      </c>
      <c r="C14" s="86" t="s">
        <v>46</v>
      </c>
      <c r="D14" s="139" t="s">
        <v>46</v>
      </c>
      <c r="E14" s="86" t="s">
        <v>46</v>
      </c>
      <c r="F14" s="86" t="s">
        <v>46</v>
      </c>
      <c r="G14" s="136" t="str">
        <f>IF(Contribute="abcd",IF($E$2&lt;&gt;-1,_xll.RtContribute(SourceAlias,V14,Fields,W14:X14,"SCOPE:SERVER"),_xll.RtContribute(SourceAlias,"DDS_INSERT_S",$E$2:$G$2,V14:X14,"SCOPE:SERVER FTC:ALL")),"stopped")</f>
        <v>stopped</v>
      </c>
      <c r="H14" s="136" t="s">
        <v>46</v>
      </c>
      <c r="I14" s="18" t="s">
        <v>46</v>
      </c>
      <c r="J14" s="115" t="str">
        <v>USD_CURVE_DEP1M_3M</v>
      </c>
      <c r="K14" s="116">
        <f>IF(J14="","",'1M Pricing'!$I14*100)</f>
        <v>0.2729994889369321</v>
      </c>
      <c r="L14" s="116">
        <f t="shared" si="0"/>
        <v>0.2729994889369321</v>
      </c>
      <c r="M14" s="117" t="str">
        <v>USD_CURVE_DEP3M_3M</v>
      </c>
      <c r="N14" s="116">
        <f>IF(M14="","",'3M Pricing'!$I14*100)</f>
        <v>0.33394564235184238</v>
      </c>
      <c r="O14" s="116">
        <f t="shared" si="1"/>
        <v>0.33394564235184238</v>
      </c>
      <c r="P14" s="117" t="str">
        <v>USD_CURVE_DEP6M_3M</v>
      </c>
      <c r="Q14" s="116">
        <f>IF(P14="","",'6M Pricing'!$I14*100)</f>
        <v>0.50820000000000631</v>
      </c>
      <c r="R14" s="116">
        <f t="shared" si="2"/>
        <v>0.50820000000000631</v>
      </c>
      <c r="S14" s="117" t="str">
        <v>USD_CURVE_DEP12M_3M</v>
      </c>
      <c r="T14" s="116">
        <f>IF(S14="","",'1Y Pricing'!$I14*100)</f>
        <v>0.86829999999781382</v>
      </c>
      <c r="U14" s="116">
        <f t="shared" si="3"/>
        <v>0.86829999999781382</v>
      </c>
      <c r="V14" s="115" t="str">
        <v>USD_CURVE_OIS_3M</v>
      </c>
      <c r="W14" s="116">
        <f>IF(V14="","",'ON Pricing'!$G14*100)</f>
        <v>0.21199999989775314</v>
      </c>
      <c r="X14" s="116">
        <f t="shared" si="4"/>
        <v>0.21199999989775314</v>
      </c>
      <c r="Y14" s="115" t="str">
        <v/>
      </c>
      <c r="Z14" s="116" t="str">
        <f>IF(Y14="","",'STD Pricing'!$G14*100)</f>
        <v/>
      </c>
      <c r="AA14" s="116" t="str">
        <f t="shared" si="5"/>
        <v/>
      </c>
      <c r="AB14" s="23" t="s">
        <v>46</v>
      </c>
      <c r="AC14" s="142" t="str">
        <f>IF($C14=" ","",ROUND(ABS(_xll.RtGet(SourceAlias,$J14,BID)-K14),4))</f>
        <v/>
      </c>
      <c r="AD14" s="142" t="str">
        <f>IF($C14=" ","",ROUND(ABS(_xll.RtGet(SourceAlias,$J14,ASK)-L14),4))</f>
        <v/>
      </c>
      <c r="AE14" s="142" t="str">
        <f>IF($D14=" ","",ROUND(ABS(_xll.RtGet(SourceAlias,$M14,BID)-N14),4))</f>
        <v/>
      </c>
      <c r="AF14" s="142" t="str">
        <f>IF($D14=" ","",ROUND(ABS(_xll.RtGet(SourceAlias,$M14,ASK)-O14),4))</f>
        <v/>
      </c>
      <c r="AG14" s="142" t="str">
        <f>IF($E14=" ","",ROUND(ABS(_xll.RtGet(SourceAlias,$P14,BID)-Q14),4))</f>
        <v/>
      </c>
      <c r="AH14" s="142" t="str">
        <f>IF($E14=" ","",ROUND(ABS(_xll.RtGet(SourceAlias,$P14,ASK)-R14),4))</f>
        <v/>
      </c>
      <c r="AI14" s="142" t="str">
        <f>IF($F14=" ","",ROUND(ABS(_xll.RtGet(SourceAlias,$S14,BID)-T14),4))</f>
        <v/>
      </c>
      <c r="AJ14" s="142" t="str">
        <f>IF($F14=" ","",ROUND(ABS(_xll.RtGet(SourceAlias,$S14,ASK)-U14),4))</f>
        <v/>
      </c>
      <c r="AK14" s="142">
        <f>IF($G14=" ","",ROUND(ABS(_xll.RtGet(SourceAlias,$V14,BID)-W14),4))</f>
        <v>0</v>
      </c>
      <c r="AL14" s="142">
        <f>IF($G14=" ","",ROUND(ABS(_xll.RtGet(SourceAlias,$V14,ASK)-X14),4))</f>
        <v>0</v>
      </c>
      <c r="AM14" s="142" t="str">
        <f>IF($H14=" ","",ROUND(ABS(_xll.RtGet(SourceAlias,$Y14,BID)-Z14),4))</f>
        <v/>
      </c>
      <c r="AN14" s="142" t="str">
        <f>IF($H14=" ","",ROUND(ABS(_xll.RtGet(SourceAlias,$Y14,ASK)-AA14),4))</f>
        <v/>
      </c>
    </row>
    <row r="15" spans="1:40" ht="11.25" customHeight="1" x14ac:dyDescent="0.2">
      <c r="A15" s="195"/>
      <c r="B15" s="49" t="s">
        <v>19</v>
      </c>
      <c r="C15" s="86" t="s">
        <v>46</v>
      </c>
      <c r="D15" s="139" t="s">
        <v>46</v>
      </c>
      <c r="E15" s="86" t="s">
        <v>46</v>
      </c>
      <c r="F15" s="86" t="s">
        <v>46</v>
      </c>
      <c r="G15" s="136" t="str">
        <f>IF(Contribute="abcd",IF($E$2&lt;&gt;-1,_xll.RtContribute(SourceAlias,V15,Fields,W15:X15,"SCOPE:SERVER"),_xll.RtContribute(SourceAlias,"DDS_INSERT_S",$E$2:$G$2,V15:X15,"SCOPE:SERVER FTC:ALL")),"stopped")</f>
        <v>stopped</v>
      </c>
      <c r="H15" s="136" t="s">
        <v>46</v>
      </c>
      <c r="I15" s="18" t="s">
        <v>46</v>
      </c>
      <c r="J15" s="115" t="str">
        <v>USD_CURVE_DEP1M_4M</v>
      </c>
      <c r="K15" s="116">
        <f>IF(J15="","",'1M Pricing'!$I15*100)</f>
        <v>0.29149878667056045</v>
      </c>
      <c r="L15" s="116">
        <f t="shared" si="0"/>
        <v>0.29149878667056045</v>
      </c>
      <c r="M15" s="117" t="str">
        <v>USD_CURVE_DEP3M_4M</v>
      </c>
      <c r="N15" s="116">
        <f>IF(M15="","",'3M Pricing'!$I15*100)</f>
        <v>0.36355559630449136</v>
      </c>
      <c r="O15" s="116">
        <f t="shared" si="1"/>
        <v>0.36355559630449136</v>
      </c>
      <c r="P15" s="117" t="str">
        <v>USD_CURVE_DEP6M_4M</v>
      </c>
      <c r="Q15" s="116">
        <f>IF(P15="","",'6M Pricing'!$I15*100)</f>
        <v>0.51850000000004492</v>
      </c>
      <c r="R15" s="116">
        <f t="shared" si="2"/>
        <v>0.51850000000004492</v>
      </c>
      <c r="S15" s="117" t="str">
        <v>USD_CURVE_DEP12M_4M</v>
      </c>
      <c r="T15" s="116">
        <f>IF(S15="","",'1Y Pricing'!$I15*100)</f>
        <v>0.87149999999993033</v>
      </c>
      <c r="U15" s="116">
        <f t="shared" si="3"/>
        <v>0.87149999999993033</v>
      </c>
      <c r="V15" s="115" t="str">
        <v>USD_CURVE_OIS_4M</v>
      </c>
      <c r="W15" s="116">
        <f>IF(V15="","",'ON Pricing'!$G15*100)</f>
        <v>0.23699999992420648</v>
      </c>
      <c r="X15" s="116">
        <f t="shared" si="4"/>
        <v>0.23699999992420648</v>
      </c>
      <c r="Y15" s="115" t="str">
        <v/>
      </c>
      <c r="Z15" s="116" t="str">
        <f>IF(Y15="","",'STD Pricing'!$G15*100)</f>
        <v/>
      </c>
      <c r="AA15" s="116" t="str">
        <f t="shared" si="5"/>
        <v/>
      </c>
      <c r="AB15" s="23"/>
      <c r="AC15" s="142" t="str">
        <f>IF($C15=" ","",ROUND(ABS(_xll.RtGet(SourceAlias,$J15,BID)-K15),4))</f>
        <v/>
      </c>
      <c r="AD15" s="142" t="str">
        <f>IF($C15=" ","",ROUND(ABS(_xll.RtGet(SourceAlias,$J15,ASK)-L15),4))</f>
        <v/>
      </c>
      <c r="AE15" s="142" t="str">
        <f>IF($D15=" ","",ROUND(ABS(_xll.RtGet(SourceAlias,$M15,BID)-N15),4))</f>
        <v/>
      </c>
      <c r="AF15" s="142" t="str">
        <f>IF($D15=" ","",ROUND(ABS(_xll.RtGet(SourceAlias,$M15,ASK)-O15),4))</f>
        <v/>
      </c>
      <c r="AG15" s="142" t="str">
        <f>IF($E15=" ","",ROUND(ABS(_xll.RtGet(SourceAlias,$P15,BID)-Q15),4))</f>
        <v/>
      </c>
      <c r="AH15" s="142" t="str">
        <f>IF($E15=" ","",ROUND(ABS(_xll.RtGet(SourceAlias,$P15,ASK)-R15),4))</f>
        <v/>
      </c>
      <c r="AI15" s="142" t="str">
        <f>IF($F15=" ","",ROUND(ABS(_xll.RtGet(SourceAlias,$S15,BID)-T15),4))</f>
        <v/>
      </c>
      <c r="AJ15" s="142" t="str">
        <f>IF($F15=" ","",ROUND(ABS(_xll.RtGet(SourceAlias,$S15,ASK)-U15),4))</f>
        <v/>
      </c>
      <c r="AK15" s="142">
        <f>IF($G15=" ","",ROUND(ABS(_xll.RtGet(SourceAlias,$V15,BID)-W15),4))</f>
        <v>0</v>
      </c>
      <c r="AL15" s="142">
        <f>IF($G15=" ","",ROUND(ABS(_xll.RtGet(SourceAlias,$V15,ASK)-X15),4))</f>
        <v>0</v>
      </c>
      <c r="AM15" s="142" t="str">
        <f>IF($H15=" ","",ROUND(ABS(_xll.RtGet(SourceAlias,$Y15,BID)-Z15),4))</f>
        <v/>
      </c>
      <c r="AN15" s="142" t="str">
        <f>IF($H15=" ","",ROUND(ABS(_xll.RtGet(SourceAlias,$Y15,ASK)-AA15),4))</f>
        <v/>
      </c>
    </row>
    <row r="16" spans="1:40" ht="11.25" customHeight="1" x14ac:dyDescent="0.2">
      <c r="A16" s="195"/>
      <c r="B16" s="49" t="s">
        <v>20</v>
      </c>
      <c r="C16" s="86" t="s">
        <v>46</v>
      </c>
      <c r="D16" s="139" t="s">
        <v>46</v>
      </c>
      <c r="E16" s="86" t="s">
        <v>46</v>
      </c>
      <c r="F16" s="86" t="s">
        <v>46</v>
      </c>
      <c r="G16" s="136" t="str">
        <f>IF(Contribute="abcd",IF($E$2&lt;&gt;-1,_xll.RtContribute(SourceAlias,V16,Fields,W16:X16,"SCOPE:SERVER"),_xll.RtContribute(SourceAlias,"DDS_INSERT_S",$E$2:$G$2,V16:X16,"SCOPE:SERVER FTC:ALL")),"stopped")</f>
        <v>stopped</v>
      </c>
      <c r="H16" s="136" t="s">
        <v>46</v>
      </c>
      <c r="I16" s="18" t="s">
        <v>46</v>
      </c>
      <c r="J16" s="115" t="str">
        <v>USD_CURVE_DEP1M_5M</v>
      </c>
      <c r="K16" s="116">
        <f>IF(J16="","",'1M Pricing'!$I16*100)</f>
        <v>0.31048510671382495</v>
      </c>
      <c r="L16" s="116">
        <f t="shared" si="0"/>
        <v>0.31048510671382495</v>
      </c>
      <c r="M16" s="117" t="str">
        <v>USD_CURVE_DEP3M_5M</v>
      </c>
      <c r="N16" s="116">
        <f>IF(M16="","",'3M Pricing'!$I16*100)</f>
        <v>0.38516276380217612</v>
      </c>
      <c r="O16" s="116">
        <f t="shared" si="1"/>
        <v>0.38516276380217612</v>
      </c>
      <c r="P16" s="117" t="str">
        <v>USD_CURVE_DEP6M_5M</v>
      </c>
      <c r="Q16" s="116">
        <f>IF(P16="","",'6M Pricing'!$I16*100)</f>
        <v>0.52739999999996878</v>
      </c>
      <c r="R16" s="116">
        <f t="shared" si="2"/>
        <v>0.52739999999996878</v>
      </c>
      <c r="S16" s="117" t="str">
        <v>USD_CURVE_DEP12M_5M</v>
      </c>
      <c r="T16" s="116">
        <f>IF(S16="","",'1Y Pricing'!$I16*100)</f>
        <v>0.86899999999633837</v>
      </c>
      <c r="U16" s="116">
        <f t="shared" si="3"/>
        <v>0.86899999999633837</v>
      </c>
      <c r="V16" s="115" t="str">
        <v>USD_CURVE_OIS_5M</v>
      </c>
      <c r="W16" s="116">
        <f>IF(V16="","",'ON Pricing'!$G16*100)</f>
        <v>0.25499999993909317</v>
      </c>
      <c r="X16" s="116">
        <f t="shared" si="4"/>
        <v>0.25499999993909317</v>
      </c>
      <c r="Y16" s="115" t="str">
        <v/>
      </c>
      <c r="Z16" s="116" t="str">
        <f>IF(Y16="","",'STD Pricing'!$G16*100)</f>
        <v/>
      </c>
      <c r="AA16" s="116" t="str">
        <f t="shared" si="5"/>
        <v/>
      </c>
      <c r="AB16" s="23"/>
      <c r="AC16" s="142" t="str">
        <f>IF($C16=" ","",ROUND(ABS(_xll.RtGet(SourceAlias,$J16,BID)-K16),4))</f>
        <v/>
      </c>
      <c r="AD16" s="142" t="str">
        <f>IF($C16=" ","",ROUND(ABS(_xll.RtGet(SourceAlias,$J16,ASK)-L16),4))</f>
        <v/>
      </c>
      <c r="AE16" s="142" t="str">
        <f>IF($D16=" ","",ROUND(ABS(_xll.RtGet(SourceAlias,$M16,BID)-N16),4))</f>
        <v/>
      </c>
      <c r="AF16" s="142" t="str">
        <f>IF($D16=" ","",ROUND(ABS(_xll.RtGet(SourceAlias,$M16,ASK)-O16),4))</f>
        <v/>
      </c>
      <c r="AG16" s="142" t="str">
        <f>IF($E16=" ","",ROUND(ABS(_xll.RtGet(SourceAlias,$P16,BID)-Q16),4))</f>
        <v/>
      </c>
      <c r="AH16" s="142" t="str">
        <f>IF($E16=" ","",ROUND(ABS(_xll.RtGet(SourceAlias,$P16,ASK)-R16),4))</f>
        <v/>
      </c>
      <c r="AI16" s="142" t="str">
        <f>IF($F16=" ","",ROUND(ABS(_xll.RtGet(SourceAlias,$S16,BID)-T16),4))</f>
        <v/>
      </c>
      <c r="AJ16" s="142" t="str">
        <f>IF($F16=" ","",ROUND(ABS(_xll.RtGet(SourceAlias,$S16,ASK)-U16),4))</f>
        <v/>
      </c>
      <c r="AK16" s="142">
        <f>IF($G16=" ","",ROUND(ABS(_xll.RtGet(SourceAlias,$V16,BID)-W16),4))</f>
        <v>0</v>
      </c>
      <c r="AL16" s="142">
        <f>IF($G16=" ","",ROUND(ABS(_xll.RtGet(SourceAlias,$V16,ASK)-X16),4))</f>
        <v>0</v>
      </c>
      <c r="AM16" s="142" t="str">
        <f>IF($H16=" ","",ROUND(ABS(_xll.RtGet(SourceAlias,$Y16,BID)-Z16),4))</f>
        <v/>
      </c>
      <c r="AN16" s="142" t="str">
        <f>IF($H16=" ","",ROUND(ABS(_xll.RtGet(SourceAlias,$Y16,ASK)-AA16),4))</f>
        <v/>
      </c>
    </row>
    <row r="17" spans="1:40" ht="11.25" customHeight="1" x14ac:dyDescent="0.2">
      <c r="A17" s="195"/>
      <c r="B17" s="49" t="s">
        <v>13</v>
      </c>
      <c r="C17" s="86" t="s">
        <v>46</v>
      </c>
      <c r="D17" s="139" t="s">
        <v>46</v>
      </c>
      <c r="E17" s="86" t="s">
        <v>46</v>
      </c>
      <c r="F17" s="86" t="s">
        <v>46</v>
      </c>
      <c r="G17" s="136" t="str">
        <f>IF(Contribute="abcd",IF($E$2&lt;&gt;-1,_xll.RtContribute(SourceAlias,V17,Fields,W17:X17,"SCOPE:SERVER"),_xll.RtContribute(SourceAlias,"DDS_INSERT_S",$E$2:$G$2,V17:X17,"SCOPE:SERVER FTC:ALL")),"stopped")</f>
        <v>stopped</v>
      </c>
      <c r="H17" s="136" t="s">
        <v>46</v>
      </c>
      <c r="I17" s="18" t="s">
        <v>46</v>
      </c>
      <c r="J17" s="115" t="str">
        <v>USD_CURVE_DEP1M_6M</v>
      </c>
      <c r="K17" s="116">
        <f>IF(J17="","",'1M Pricing'!$I17*100)</f>
        <v>0.32903763651585433</v>
      </c>
      <c r="L17" s="116">
        <f t="shared" si="0"/>
        <v>0.32903763651585433</v>
      </c>
      <c r="M17" s="117" t="str">
        <v>USD_CURVE_DEP3M_6M</v>
      </c>
      <c r="N17" s="116">
        <f>IF(M17="","",'3M Pricing'!$I17*100)</f>
        <v>0.40234252819940242</v>
      </c>
      <c r="O17" s="116">
        <f t="shared" si="1"/>
        <v>0.40234252819940242</v>
      </c>
      <c r="P17" s="117" t="str">
        <v>USD_CURVE_DEP6M_6M</v>
      </c>
      <c r="Q17" s="116">
        <f>IF(P17="","",'6M Pricing'!$I17*100)</f>
        <v>0.53799999999999337</v>
      </c>
      <c r="R17" s="116">
        <f t="shared" si="2"/>
        <v>0.53799999999999337</v>
      </c>
      <c r="S17" s="117" t="str">
        <v>USD_CURVE_DEP12M_6M</v>
      </c>
      <c r="T17" s="116">
        <f>IF(S17="","",'1Y Pricing'!$I17*100)</f>
        <v>0.86419999999997554</v>
      </c>
      <c r="U17" s="116">
        <f t="shared" si="3"/>
        <v>0.86419999999997554</v>
      </c>
      <c r="V17" s="115" t="str">
        <v>USD_CURVE_OIS_6M</v>
      </c>
      <c r="W17" s="116">
        <f>IF(V17="","",'ON Pricing'!$G17*100)</f>
        <v>0.26999999994875629</v>
      </c>
      <c r="X17" s="116">
        <f t="shared" si="4"/>
        <v>0.26999999994875629</v>
      </c>
      <c r="Y17" s="115" t="str">
        <v/>
      </c>
      <c r="Z17" s="116" t="str">
        <f>IF(Y17="","",'STD Pricing'!$G17*100)</f>
        <v/>
      </c>
      <c r="AA17" s="116" t="str">
        <f t="shared" si="5"/>
        <v/>
      </c>
      <c r="AB17" s="23" t="s">
        <v>46</v>
      </c>
      <c r="AC17" s="142" t="str">
        <f>IF($C17=" ","",ROUND(ABS(_xll.RtGet(SourceAlias,$J17,BID)-K17),4))</f>
        <v/>
      </c>
      <c r="AD17" s="142" t="str">
        <f>IF($C17=" ","",ROUND(ABS(_xll.RtGet(SourceAlias,$J17,ASK)-L17),4))</f>
        <v/>
      </c>
      <c r="AE17" s="142" t="str">
        <f>IF($D17=" ","",ROUND(ABS(_xll.RtGet(SourceAlias,$M17,BID)-N17),4))</f>
        <v/>
      </c>
      <c r="AF17" s="142" t="str">
        <f>IF($D17=" ","",ROUND(ABS(_xll.RtGet(SourceAlias,$M17,ASK)-O17),4))</f>
        <v/>
      </c>
      <c r="AG17" s="142" t="str">
        <f>IF($E17=" ","",ROUND(ABS(_xll.RtGet(SourceAlias,$P17,BID)-Q17),4))</f>
        <v/>
      </c>
      <c r="AH17" s="142" t="str">
        <f>IF($E17=" ","",ROUND(ABS(_xll.RtGet(SourceAlias,$P17,ASK)-R17),4))</f>
        <v/>
      </c>
      <c r="AI17" s="142" t="str">
        <f>IF($F17=" ","",ROUND(ABS(_xll.RtGet(SourceAlias,$S17,BID)-T17),4))</f>
        <v/>
      </c>
      <c r="AJ17" s="142" t="str">
        <f>IF($F17=" ","",ROUND(ABS(_xll.RtGet(SourceAlias,$S17,ASK)-U17),4))</f>
        <v/>
      </c>
      <c r="AK17" s="142">
        <f>IF($G17=" ","",ROUND(ABS(_xll.RtGet(SourceAlias,$V17,BID)-W17),4))</f>
        <v>0</v>
      </c>
      <c r="AL17" s="142">
        <f>IF($G17=" ","",ROUND(ABS(_xll.RtGet(SourceAlias,$V17,ASK)-X17),4))</f>
        <v>0</v>
      </c>
      <c r="AM17" s="142" t="str">
        <f>IF($H17=" ","",ROUND(ABS(_xll.RtGet(SourceAlias,$Y17,BID)-Z17),4))</f>
        <v/>
      </c>
      <c r="AN17" s="142" t="str">
        <f>IF($H17=" ","",ROUND(ABS(_xll.RtGet(SourceAlias,$Y17,ASK)-AA17),4))</f>
        <v/>
      </c>
    </row>
    <row r="18" spans="1:40" ht="11.25" customHeight="1" x14ac:dyDescent="0.2">
      <c r="A18" s="195"/>
      <c r="B18" s="49" t="s">
        <v>65</v>
      </c>
      <c r="C18" s="86" t="s">
        <v>46</v>
      </c>
      <c r="D18" s="139" t="s">
        <v>46</v>
      </c>
      <c r="E18" s="86" t="s">
        <v>46</v>
      </c>
      <c r="F18" s="86" t="s">
        <v>46</v>
      </c>
      <c r="G18" s="136" t="str">
        <f>IF(Contribute="abcd",IF($E$2&lt;&gt;-1,_xll.RtContribute(SourceAlias,V18,Fields,W18:X18,"SCOPE:SERVER"),_xll.RtContribute(SourceAlias,"DDS_INSERT_S",$E$2:$G$2,V18:X18,"SCOPE:SERVER FTC:ALL")),"stopped")</f>
        <v>stopped</v>
      </c>
      <c r="H18" s="136" t="s">
        <v>46</v>
      </c>
      <c r="I18" s="18" t="s">
        <v>46</v>
      </c>
      <c r="J18" s="115" t="str">
        <v>USD_CURVE_DEP1M_7M</v>
      </c>
      <c r="K18" s="116">
        <f>IF(J18="","",'1M Pricing'!$I18*100)</f>
        <v>0.34929209923527837</v>
      </c>
      <c r="L18" s="116">
        <f t="shared" si="0"/>
        <v>0.34929209923527837</v>
      </c>
      <c r="M18" s="117" t="str">
        <v>USD_CURVE_DEP3M_7M</v>
      </c>
      <c r="N18" s="116">
        <f>IF(M18="","",'3M Pricing'!$I18*100)</f>
        <v>0.42335165198942992</v>
      </c>
      <c r="O18" s="116">
        <f t="shared" si="1"/>
        <v>0.42335165198942992</v>
      </c>
      <c r="P18" s="117" t="str">
        <v>USD_CURVE_DEP6M_7M</v>
      </c>
      <c r="Q18" s="116">
        <f>IF(P18="","",'6M Pricing'!$I18*100)</f>
        <v>0.55804662765090163</v>
      </c>
      <c r="R18" s="116">
        <f t="shared" si="2"/>
        <v>0.55804662765090163</v>
      </c>
      <c r="S18" s="117" t="str">
        <v>USD_CURVE_DEP12M_7M</v>
      </c>
      <c r="T18" s="116">
        <f>IF(S18="","",'1Y Pricing'!$I18*100)</f>
        <v>0.86074674601686607</v>
      </c>
      <c r="U18" s="116">
        <f t="shared" si="3"/>
        <v>0.86074674601686607</v>
      </c>
      <c r="V18" s="115" t="str">
        <v>USD_CURVE_OIS_7M</v>
      </c>
      <c r="W18" s="116">
        <f>IF(V18="","",'ON Pricing'!$G18*100)</f>
        <v>0.29099999995640641</v>
      </c>
      <c r="X18" s="116">
        <f t="shared" si="4"/>
        <v>0.29099999995640641</v>
      </c>
      <c r="Y18" s="115" t="str">
        <v/>
      </c>
      <c r="Z18" s="116" t="str">
        <f>IF(Y18="","",'STD Pricing'!$G18*100)</f>
        <v/>
      </c>
      <c r="AA18" s="116" t="str">
        <f t="shared" si="5"/>
        <v/>
      </c>
      <c r="AB18" s="23"/>
      <c r="AC18" s="142" t="str">
        <f>IF($C18=" ","",ROUND(ABS(_xll.RtGet(SourceAlias,$J18,BID)-K18),4))</f>
        <v/>
      </c>
      <c r="AD18" s="142" t="str">
        <f>IF($C18=" ","",ROUND(ABS(_xll.RtGet(SourceAlias,$J18,ASK)-L18),4))</f>
        <v/>
      </c>
      <c r="AE18" s="142" t="str">
        <f>IF($D18=" ","",ROUND(ABS(_xll.RtGet(SourceAlias,$M18,BID)-N18),4))</f>
        <v/>
      </c>
      <c r="AF18" s="142" t="str">
        <f>IF($D18=" ","",ROUND(ABS(_xll.RtGet(SourceAlias,$M18,ASK)-O18),4))</f>
        <v/>
      </c>
      <c r="AG18" s="142" t="str">
        <f>IF($E18=" ","",ROUND(ABS(_xll.RtGet(SourceAlias,$P18,BID)-Q18),4))</f>
        <v/>
      </c>
      <c r="AH18" s="142" t="str">
        <f>IF($E18=" ","",ROUND(ABS(_xll.RtGet(SourceAlias,$P18,ASK)-R18),4))</f>
        <v/>
      </c>
      <c r="AI18" s="142" t="str">
        <f>IF($F18=" ","",ROUND(ABS(_xll.RtGet(SourceAlias,$S18,BID)-T18),4))</f>
        <v/>
      </c>
      <c r="AJ18" s="142" t="str">
        <f>IF($F18=" ","",ROUND(ABS(_xll.RtGet(SourceAlias,$S18,ASK)-U18),4))</f>
        <v/>
      </c>
      <c r="AK18" s="142">
        <f>IF($G18=" ","",ROUND(ABS(_xll.RtGet(SourceAlias,$V18,BID)-W18),4))</f>
        <v>0</v>
      </c>
      <c r="AL18" s="142">
        <f>IF($G18=" ","",ROUND(ABS(_xll.RtGet(SourceAlias,$V18,ASK)-X18),4))</f>
        <v>0</v>
      </c>
      <c r="AM18" s="142" t="str">
        <f>IF($H18=" ","",ROUND(ABS(_xll.RtGet(SourceAlias,$Y18,BID)-Z18),4))</f>
        <v/>
      </c>
      <c r="AN18" s="142" t="str">
        <f>IF($H18=" ","",ROUND(ABS(_xll.RtGet(SourceAlias,$Y18,ASK)-AA18),4))</f>
        <v/>
      </c>
    </row>
    <row r="19" spans="1:40" ht="11.25" customHeight="1" x14ac:dyDescent="0.2">
      <c r="A19" s="195"/>
      <c r="B19" s="49" t="s">
        <v>66</v>
      </c>
      <c r="C19" s="86" t="s">
        <v>46</v>
      </c>
      <c r="D19" s="139" t="s">
        <v>46</v>
      </c>
      <c r="E19" s="86" t="s">
        <v>46</v>
      </c>
      <c r="F19" s="86" t="s">
        <v>46</v>
      </c>
      <c r="G19" s="136" t="str">
        <f>IF(Contribute="abcd",IF($E$2&lt;&gt;-1,_xll.RtContribute(SourceAlias,V19,Fields,W19:X19,"SCOPE:SERVER"),_xll.RtContribute(SourceAlias,"DDS_INSERT_S",$E$2:$G$2,V19:X19,"SCOPE:SERVER FTC:ALL")),"stopped")</f>
        <v>stopped</v>
      </c>
      <c r="H19" s="136" t="s">
        <v>46</v>
      </c>
      <c r="I19" s="18" t="s">
        <v>46</v>
      </c>
      <c r="J19" s="115" t="str">
        <v>USD_CURVE_DEP1M_8M</v>
      </c>
      <c r="K19" s="116">
        <f>IF(J19="","",'1M Pricing'!$I19*100)</f>
        <v>0.36779483102441951</v>
      </c>
      <c r="L19" s="116">
        <f t="shared" si="0"/>
        <v>0.36779483102441951</v>
      </c>
      <c r="M19" s="117" t="str">
        <v>USD_CURVE_DEP3M_8M</v>
      </c>
      <c r="N19" s="116">
        <f>IF(M19="","",'3M Pricing'!$I19*100)</f>
        <v>0.44426484949399447</v>
      </c>
      <c r="O19" s="116">
        <f t="shared" si="1"/>
        <v>0.44426484949399447</v>
      </c>
      <c r="P19" s="117" t="str">
        <v>USD_CURVE_DEP6M_8M</v>
      </c>
      <c r="Q19" s="116">
        <f>IF(P19="","",'6M Pricing'!$I19*100)</f>
        <v>0.5816949190814148</v>
      </c>
      <c r="R19" s="116">
        <f t="shared" si="2"/>
        <v>0.5816949190814148</v>
      </c>
      <c r="S19" s="117" t="str">
        <v>USD_CURVE_DEP12M_8M</v>
      </c>
      <c r="T19" s="116">
        <f>IF(S19="","",'1Y Pricing'!$I19*100)</f>
        <v>0.85911937416855899</v>
      </c>
      <c r="U19" s="116">
        <f t="shared" si="3"/>
        <v>0.85911937416855899</v>
      </c>
      <c r="V19" s="115" t="str">
        <v>USD_CURVE_OIS_8M</v>
      </c>
      <c r="W19" s="116">
        <f>IF(V19="","",'ON Pricing'!$G19*100)</f>
        <v>0.30899999996157762</v>
      </c>
      <c r="X19" s="116">
        <f t="shared" si="4"/>
        <v>0.30899999996157762</v>
      </c>
      <c r="Y19" s="115" t="str">
        <v/>
      </c>
      <c r="Z19" s="116" t="str">
        <f>IF(Y19="","",'STD Pricing'!$G19*100)</f>
        <v/>
      </c>
      <c r="AA19" s="116" t="str">
        <f t="shared" si="5"/>
        <v/>
      </c>
      <c r="AB19" s="23"/>
      <c r="AC19" s="142" t="str">
        <f>IF($C19=" ","",ROUND(ABS(_xll.RtGet(SourceAlias,$J19,BID)-K19),4))</f>
        <v/>
      </c>
      <c r="AD19" s="142" t="str">
        <f>IF($C19=" ","",ROUND(ABS(_xll.RtGet(SourceAlias,$J19,ASK)-L19),4))</f>
        <v/>
      </c>
      <c r="AE19" s="142" t="str">
        <f>IF($D19=" ","",ROUND(ABS(_xll.RtGet(SourceAlias,$M19,BID)-N19),4))</f>
        <v/>
      </c>
      <c r="AF19" s="142" t="str">
        <f>IF($D19=" ","",ROUND(ABS(_xll.RtGet(SourceAlias,$M19,ASK)-O19),4))</f>
        <v/>
      </c>
      <c r="AG19" s="142" t="str">
        <f>IF($E19=" ","",ROUND(ABS(_xll.RtGet(SourceAlias,$P19,BID)-Q19),4))</f>
        <v/>
      </c>
      <c r="AH19" s="142" t="str">
        <f>IF($E19=" ","",ROUND(ABS(_xll.RtGet(SourceAlias,$P19,ASK)-R19),4))</f>
        <v/>
      </c>
      <c r="AI19" s="142" t="str">
        <f>IF($F19=" ","",ROUND(ABS(_xll.RtGet(SourceAlias,$S19,BID)-T19),4))</f>
        <v/>
      </c>
      <c r="AJ19" s="142" t="str">
        <f>IF($F19=" ","",ROUND(ABS(_xll.RtGet(SourceAlias,$S19,ASK)-U19),4))</f>
        <v/>
      </c>
      <c r="AK19" s="142">
        <f>IF($G19=" ","",ROUND(ABS(_xll.RtGet(SourceAlias,$V19,BID)-W19),4))</f>
        <v>0</v>
      </c>
      <c r="AL19" s="142">
        <f>IF($G19=" ","",ROUND(ABS(_xll.RtGet(SourceAlias,$V19,ASK)-X19),4))</f>
        <v>0</v>
      </c>
      <c r="AM19" s="142" t="str">
        <f>IF($H19=" ","",ROUND(ABS(_xll.RtGet(SourceAlias,$Y19,BID)-Z19),4))</f>
        <v/>
      </c>
      <c r="AN19" s="142" t="str">
        <f>IF($H19=" ","",ROUND(ABS(_xll.RtGet(SourceAlias,$Y19,ASK)-AA19),4))</f>
        <v/>
      </c>
    </row>
    <row r="20" spans="1:40" ht="11.25" customHeight="1" x14ac:dyDescent="0.2">
      <c r="A20" s="195"/>
      <c r="B20" s="49" t="s">
        <v>21</v>
      </c>
      <c r="C20" s="86" t="s">
        <v>46</v>
      </c>
      <c r="D20" s="139" t="s">
        <v>46</v>
      </c>
      <c r="E20" s="86" t="s">
        <v>46</v>
      </c>
      <c r="F20" s="86" t="s">
        <v>46</v>
      </c>
      <c r="G20" s="136" t="str">
        <f>IF(Contribute="abcd",IF($E$2&lt;&gt;-1,_xll.RtContribute(SourceAlias,V20,Fields,W20:X20,"SCOPE:SERVER"),_xll.RtContribute(SourceAlias,"DDS_INSERT_S",$E$2:$G$2,V20:X20,"SCOPE:SERVER FTC:ALL")),"stopped")</f>
        <v>stopped</v>
      </c>
      <c r="H20" s="136" t="s">
        <v>46</v>
      </c>
      <c r="I20" s="18" t="s">
        <v>46</v>
      </c>
      <c r="J20" s="115" t="str">
        <v>USD_CURVE_DEP1M_9M</v>
      </c>
      <c r="K20" s="116">
        <f>IF(J20="","",'1M Pricing'!$I20*100)</f>
        <v>0.38805600716245026</v>
      </c>
      <c r="L20" s="116">
        <f t="shared" si="0"/>
        <v>0.38805600716245026</v>
      </c>
      <c r="M20" s="117" t="str">
        <v>USD_CURVE_DEP3M_9M</v>
      </c>
      <c r="N20" s="116">
        <f>IF(M20="","",'3M Pricing'!$I20*100)</f>
        <v>0.46744371125057876</v>
      </c>
      <c r="O20" s="116">
        <f t="shared" si="1"/>
        <v>0.46744371125057876</v>
      </c>
      <c r="P20" s="117" t="str">
        <v>USD_CURVE_DEP6M_9M</v>
      </c>
      <c r="Q20" s="116">
        <f>IF(P20="","",'6M Pricing'!$I20*100)</f>
        <v>0.59945107534068853</v>
      </c>
      <c r="R20" s="116">
        <f t="shared" si="2"/>
        <v>0.59945107534068853</v>
      </c>
      <c r="S20" s="117" t="str">
        <v>USD_CURVE_DEP12M_9M</v>
      </c>
      <c r="T20" s="116">
        <f>IF(S20="","",'1Y Pricing'!$I20*100)</f>
        <v>0.85829999999999151</v>
      </c>
      <c r="U20" s="116">
        <f t="shared" si="3"/>
        <v>0.85829999999999151</v>
      </c>
      <c r="V20" s="115" t="str">
        <v>USD_CURVE_OIS_9M</v>
      </c>
      <c r="W20" s="116">
        <f>IF(V20="","",'ON Pricing'!$G20*100)</f>
        <v>0.32699999996591728</v>
      </c>
      <c r="X20" s="116">
        <f t="shared" si="4"/>
        <v>0.32699999996591728</v>
      </c>
      <c r="Y20" s="115" t="str">
        <v/>
      </c>
      <c r="Z20" s="116" t="str">
        <f>IF(Y20="","",'STD Pricing'!$G20*100)</f>
        <v/>
      </c>
      <c r="AA20" s="116" t="str">
        <f t="shared" si="5"/>
        <v/>
      </c>
      <c r="AB20" s="23" t="s">
        <v>46</v>
      </c>
      <c r="AC20" s="142" t="str">
        <f>IF($C20=" ","",ROUND(ABS(_xll.RtGet(SourceAlias,$J20,BID)-K20),4))</f>
        <v/>
      </c>
      <c r="AD20" s="142" t="str">
        <f>IF($C20=" ","",ROUND(ABS(_xll.RtGet(SourceAlias,$J20,ASK)-L20),4))</f>
        <v/>
      </c>
      <c r="AE20" s="142" t="str">
        <f>IF($D20=" ","",ROUND(ABS(_xll.RtGet(SourceAlias,$M20,BID)-N20),4))</f>
        <v/>
      </c>
      <c r="AF20" s="142" t="str">
        <f>IF($D20=" ","",ROUND(ABS(_xll.RtGet(SourceAlias,$M20,ASK)-O20),4))</f>
        <v/>
      </c>
      <c r="AG20" s="142" t="str">
        <f>IF($E20=" ","",ROUND(ABS(_xll.RtGet(SourceAlias,$P20,BID)-Q20),4))</f>
        <v/>
      </c>
      <c r="AH20" s="142" t="str">
        <f>IF($E20=" ","",ROUND(ABS(_xll.RtGet(SourceAlias,$P20,ASK)-R20),4))</f>
        <v/>
      </c>
      <c r="AI20" s="142" t="str">
        <f>IF($F20=" ","",ROUND(ABS(_xll.RtGet(SourceAlias,$S20,BID)-T20),4))</f>
        <v/>
      </c>
      <c r="AJ20" s="142" t="str">
        <f>IF($F20=" ","",ROUND(ABS(_xll.RtGet(SourceAlias,$S20,ASK)-U20),4))</f>
        <v/>
      </c>
      <c r="AK20" s="142">
        <f>IF($G20=" ","",ROUND(ABS(_xll.RtGet(SourceAlias,$V20,BID)-W20),4))</f>
        <v>0</v>
      </c>
      <c r="AL20" s="142">
        <f>IF($G20=" ","",ROUND(ABS(_xll.RtGet(SourceAlias,$V20,ASK)-X20),4))</f>
        <v>0</v>
      </c>
      <c r="AM20" s="142" t="str">
        <f>IF($H20=" ","",ROUND(ABS(_xll.RtGet(SourceAlias,$Y20,BID)-Z20),4))</f>
        <v/>
      </c>
      <c r="AN20" s="142" t="str">
        <f>IF($H20=" ","",ROUND(ABS(_xll.RtGet(SourceAlias,$Y20,ASK)-AA20),4))</f>
        <v/>
      </c>
    </row>
    <row r="21" spans="1:40" ht="11.25" customHeight="1" x14ac:dyDescent="0.2">
      <c r="A21" s="195"/>
      <c r="B21" s="49" t="s">
        <v>67</v>
      </c>
      <c r="C21" s="86" t="s">
        <v>46</v>
      </c>
      <c r="D21" s="86" t="s">
        <v>46</v>
      </c>
      <c r="E21" s="86" t="s">
        <v>46</v>
      </c>
      <c r="F21" s="86" t="s">
        <v>46</v>
      </c>
      <c r="G21" s="136" t="str">
        <f>IF(Contribute="abcd",IF($E$2&lt;&gt;-1,_xll.RtContribute(SourceAlias,V21,Fields,W21:X21,"SCOPE:SERVER"),_xll.RtContribute(SourceAlias,"DDS_INSERT_S",$E$2:$G$2,V21:X21,"SCOPE:SERVER FTC:ALL")),"stopped")</f>
        <v>stopped</v>
      </c>
      <c r="H21" s="136" t="s">
        <v>46</v>
      </c>
      <c r="I21" s="18" t="s">
        <v>46</v>
      </c>
      <c r="J21" s="115" t="str">
        <v/>
      </c>
      <c r="K21" s="120" t="str">
        <f>IF(J21="","",'1M Pricing'!$I21*100)</f>
        <v/>
      </c>
      <c r="L21" s="120" t="str">
        <f t="shared" si="0"/>
        <v/>
      </c>
      <c r="M21" s="117" t="str">
        <v/>
      </c>
      <c r="N21" s="116" t="str">
        <f>IF(M21="","",'3M Pricing'!$I21*100)</f>
        <v/>
      </c>
      <c r="O21" s="116" t="str">
        <f t="shared" si="1"/>
        <v/>
      </c>
      <c r="P21" s="117" t="str">
        <v/>
      </c>
      <c r="Q21" s="116" t="str">
        <f>IF(P21="","",'6M Pricing'!$I21*100)</f>
        <v/>
      </c>
      <c r="R21" s="116" t="str">
        <f t="shared" si="2"/>
        <v/>
      </c>
      <c r="S21" s="117" t="str">
        <v/>
      </c>
      <c r="T21" s="116" t="str">
        <f>IF(S21="","",'1Y Pricing'!$I21*100)</f>
        <v/>
      </c>
      <c r="U21" s="116" t="str">
        <f t="shared" si="3"/>
        <v/>
      </c>
      <c r="V21" s="115" t="str">
        <v>USD_CURVE_OIS_10M</v>
      </c>
      <c r="W21" s="120">
        <f>IF(V21="","",'ON Pricing'!$G21*100)</f>
        <v>0.34799999996936182</v>
      </c>
      <c r="X21" s="120">
        <f t="shared" si="4"/>
        <v>0.34799999996936182</v>
      </c>
      <c r="Y21" s="115" t="str">
        <v/>
      </c>
      <c r="Z21" s="120" t="str">
        <f>IF(Y21="","",'STD Pricing'!$G21*100)</f>
        <v/>
      </c>
      <c r="AA21" s="120" t="str">
        <f t="shared" si="5"/>
        <v/>
      </c>
      <c r="AB21" s="23" t="s">
        <v>46</v>
      </c>
      <c r="AC21" s="142" t="str">
        <f>IF($C21=" ","",ROUND(ABS(_xll.RtGet(SourceAlias,$J21,BID)-K21),4))</f>
        <v/>
      </c>
      <c r="AD21" s="143" t="str">
        <f>IF($C21=" ","",ROUND(ABS(_xll.RtGet(SourceAlias,$J21,ASK)-L21),4))</f>
        <v/>
      </c>
      <c r="AE21" s="142" t="str">
        <f>IF($D21=" ","",ROUND(ABS(_xll.RtGet(SourceAlias,$M21,BID)-N21),4))</f>
        <v/>
      </c>
      <c r="AF21" s="143" t="str">
        <f>IF($D21=" ","",ROUND(ABS(_xll.RtGet(SourceAlias,$M21,ASK)-O21),4))</f>
        <v/>
      </c>
      <c r="AG21" s="142" t="str">
        <f>IF($E21=" ","",ROUND(ABS(_xll.RtGet(SourceAlias,$P21,BID)-Q21),4))</f>
        <v/>
      </c>
      <c r="AH21" s="143" t="str">
        <f>IF($E21=" ","",ROUND(ABS(_xll.RtGet(SourceAlias,$P21,ASK)-R21),4))</f>
        <v/>
      </c>
      <c r="AI21" s="142" t="str">
        <f>IF($F21=" ","",ROUND(ABS(_xll.RtGet(SourceAlias,$S21,BID)-T21),4))</f>
        <v/>
      </c>
      <c r="AJ21" s="143" t="str">
        <f>IF($F21=" ","",ROUND(ABS(_xll.RtGet(SourceAlias,$S21,ASK)-U21),4))</f>
        <v/>
      </c>
      <c r="AK21" s="142">
        <f>IF($G21=" ","",ROUND(ABS(_xll.RtGet(SourceAlias,$V21,BID)-W21),4))</f>
        <v>0</v>
      </c>
      <c r="AL21" s="143">
        <f>IF($G21=" ","",ROUND(ABS(_xll.RtGet(SourceAlias,$V21,ASK)-X21),4))</f>
        <v>0</v>
      </c>
      <c r="AM21" s="142" t="str">
        <f>IF($H21=" ","",ROUND(ABS(_xll.RtGet(SourceAlias,$Y21,BID)-Z21),4))</f>
        <v/>
      </c>
      <c r="AN21" s="143" t="str">
        <f>IF($H21=" ","",ROUND(ABS(_xll.RtGet(SourceAlias,$Y21,ASK)-AA21),4))</f>
        <v/>
      </c>
    </row>
    <row r="22" spans="1:40" ht="11.25" customHeight="1" x14ac:dyDescent="0.2">
      <c r="A22" s="195"/>
      <c r="B22" s="49" t="s">
        <v>68</v>
      </c>
      <c r="C22" s="86" t="s">
        <v>46</v>
      </c>
      <c r="D22" s="86" t="s">
        <v>46</v>
      </c>
      <c r="E22" s="86" t="s">
        <v>46</v>
      </c>
      <c r="F22" s="86" t="s">
        <v>46</v>
      </c>
      <c r="G22" s="136" t="str">
        <f>IF(Contribute="abcd",IF($E$2&lt;&gt;-1,_xll.RtContribute(SourceAlias,V22,Fields,W22:X22,"SCOPE:SERVER"),_xll.RtContribute(SourceAlias,"DDS_INSERT_S",$E$2:$G$2,V22:X22,"SCOPE:SERVER FTC:ALL")),"stopped")</f>
        <v>stopped</v>
      </c>
      <c r="H22" s="136" t="s">
        <v>46</v>
      </c>
      <c r="I22" s="18" t="s">
        <v>46</v>
      </c>
      <c r="J22" s="115" t="str">
        <v/>
      </c>
      <c r="K22" s="116" t="str">
        <f>IF(J22="","",'1M Pricing'!$I22*100)</f>
        <v/>
      </c>
      <c r="L22" s="116" t="str">
        <f t="shared" si="0"/>
        <v/>
      </c>
      <c r="M22" s="117" t="str">
        <v/>
      </c>
      <c r="N22" s="116" t="str">
        <f>IF(M22="","",'3M Pricing'!$I22*100)</f>
        <v/>
      </c>
      <c r="O22" s="116" t="str">
        <f t="shared" si="1"/>
        <v/>
      </c>
      <c r="P22" s="117" t="str">
        <v/>
      </c>
      <c r="Q22" s="116" t="str">
        <f>IF(P22="","",'6M Pricing'!$I22*100)</f>
        <v/>
      </c>
      <c r="R22" s="116" t="str">
        <f t="shared" si="2"/>
        <v/>
      </c>
      <c r="S22" s="117" t="str">
        <v/>
      </c>
      <c r="T22" s="116" t="str">
        <f>IF(S22="","",'1Y Pricing'!$I22*100)</f>
        <v/>
      </c>
      <c r="U22" s="116" t="str">
        <f t="shared" si="3"/>
        <v/>
      </c>
      <c r="V22" s="115" t="str">
        <v>USD_CURVE_OIS_11M</v>
      </c>
      <c r="W22" s="116">
        <f>IF(V22="","",'ON Pricing'!$G22*100)</f>
        <v>0.36799999997210675</v>
      </c>
      <c r="X22" s="116">
        <f t="shared" si="4"/>
        <v>0.36799999997210675</v>
      </c>
      <c r="Y22" s="115" t="str">
        <v/>
      </c>
      <c r="Z22" s="116" t="str">
        <f>IF(Y22="","",'STD Pricing'!$G22*100)</f>
        <v/>
      </c>
      <c r="AA22" s="116" t="str">
        <f t="shared" si="5"/>
        <v/>
      </c>
      <c r="AB22" s="23" t="s">
        <v>46</v>
      </c>
      <c r="AC22" s="142" t="str">
        <f>IF($C22=" ","",ROUND(ABS(_xll.RtGet(SourceAlias,$J22,BID)-K22),4))</f>
        <v/>
      </c>
      <c r="AD22" s="142" t="str">
        <f>IF($C22=" ","",ROUND(ABS(_xll.RtGet(SourceAlias,$J22,ASK)-L22),4))</f>
        <v/>
      </c>
      <c r="AE22" s="142" t="str">
        <f>IF($D22=" ","",ROUND(ABS(_xll.RtGet(SourceAlias,$M22,BID)-N22),4))</f>
        <v/>
      </c>
      <c r="AF22" s="142" t="str">
        <f>IF($D22=" ","",ROUND(ABS(_xll.RtGet(SourceAlias,$M22,ASK)-O22),4))</f>
        <v/>
      </c>
      <c r="AG22" s="142" t="str">
        <f>IF($E22=" ","",ROUND(ABS(_xll.RtGet(SourceAlias,$P22,BID)-Q22),4))</f>
        <v/>
      </c>
      <c r="AH22" s="142" t="str">
        <f>IF($E22=" ","",ROUND(ABS(_xll.RtGet(SourceAlias,$P22,ASK)-R22),4))</f>
        <v/>
      </c>
      <c r="AI22" s="142" t="str">
        <f>IF($F22=" ","",ROUND(ABS(_xll.RtGet(SourceAlias,$S22,BID)-T22),4))</f>
        <v/>
      </c>
      <c r="AJ22" s="142" t="str">
        <f>IF($F22=" ","",ROUND(ABS(_xll.RtGet(SourceAlias,$S22,ASK)-U22),4))</f>
        <v/>
      </c>
      <c r="AK22" s="142">
        <f>IF($G22=" ","",ROUND(ABS(_xll.RtGet(SourceAlias,$V22,BID)-W22),4))</f>
        <v>0</v>
      </c>
      <c r="AL22" s="142">
        <f>IF($G22=" ","",ROUND(ABS(_xll.RtGet(SourceAlias,$V22,ASK)-X22),4))</f>
        <v>0</v>
      </c>
      <c r="AM22" s="142" t="str">
        <f>IF($H22=" ","",ROUND(ABS(_xll.RtGet(SourceAlias,$Y22,BID)-Z22),4))</f>
        <v/>
      </c>
      <c r="AN22" s="142" t="str">
        <f>IF($H22=" ","",ROUND(ABS(_xll.RtGet(SourceAlias,$Y22,ASK)-AA22),4))</f>
        <v/>
      </c>
    </row>
    <row r="23" spans="1:40" ht="11.25" customHeight="1" x14ac:dyDescent="0.2">
      <c r="A23" s="195"/>
      <c r="B23" s="50" t="s">
        <v>70</v>
      </c>
      <c r="C23" s="89" t="s">
        <v>46</v>
      </c>
      <c r="D23" s="89" t="s">
        <v>46</v>
      </c>
      <c r="E23" s="89" t="s">
        <v>46</v>
      </c>
      <c r="F23" s="89" t="s">
        <v>46</v>
      </c>
      <c r="G23" s="138" t="str">
        <f>IF(Contribute="abcd",IF($E$2&lt;&gt;-1,_xll.RtContribute(SourceAlias,V23,Fields,W23:X23,"SCOPE:SERVER"),_xll.RtContribute(SourceAlias,"DDS_INSERT_S",$E$2:$G$2,V23:X23,"SCOPE:SERVER FTC:ALL")),"stopped")</f>
        <v>stopped</v>
      </c>
      <c r="H23" s="138" t="s">
        <v>46</v>
      </c>
      <c r="I23" s="18" t="s">
        <v>46</v>
      </c>
      <c r="J23" s="121" t="str">
        <v/>
      </c>
      <c r="K23" s="119" t="str">
        <f>IF(J23="","",'1M Pricing'!$I24*100)</f>
        <v/>
      </c>
      <c r="L23" s="119" t="str">
        <f t="shared" si="0"/>
        <v/>
      </c>
      <c r="M23" s="118" t="str">
        <v/>
      </c>
      <c r="N23" s="119" t="str">
        <f>IF(M23="","",'3M Pricing'!$I23*100)</f>
        <v/>
      </c>
      <c r="O23" s="119" t="str">
        <f t="shared" si="1"/>
        <v/>
      </c>
      <c r="P23" s="118" t="str">
        <v/>
      </c>
      <c r="Q23" s="119" t="str">
        <f>IF(P23="","",'6M Pricing'!$I23*100)</f>
        <v/>
      </c>
      <c r="R23" s="119" t="str">
        <f t="shared" si="2"/>
        <v/>
      </c>
      <c r="S23" s="118" t="str">
        <v/>
      </c>
      <c r="T23" s="119" t="str">
        <f>IF(S23="","",'1Y Pricing'!$I23*100)</f>
        <v/>
      </c>
      <c r="U23" s="119" t="str">
        <f t="shared" si="3"/>
        <v/>
      </c>
      <c r="V23" s="121" t="str">
        <v>USD_CURVE_OIS_1Y</v>
      </c>
      <c r="W23" s="119">
        <f>IF(V23="","",'ON Pricing'!$G23*100)</f>
        <v>0.38999999997459905</v>
      </c>
      <c r="X23" s="119">
        <f t="shared" si="4"/>
        <v>0.38999999997459905</v>
      </c>
      <c r="Y23" s="121" t="str">
        <v/>
      </c>
      <c r="Z23" s="119" t="str">
        <f>IF(Y23="","",'STD Pricing'!$G23*100)</f>
        <v/>
      </c>
      <c r="AA23" s="119" t="str">
        <f t="shared" si="5"/>
        <v/>
      </c>
      <c r="AB23" s="23" t="s">
        <v>46</v>
      </c>
      <c r="AC23" s="144" t="str">
        <f>IF($C23=" ","",ROUND(ABS(_xll.RtGet(SourceAlias,$J23,BID)-K23),4))</f>
        <v/>
      </c>
      <c r="AD23" s="144" t="str">
        <f>IF($C23=" ","",ROUND(ABS(_xll.RtGet(SourceAlias,$J23,ASK)-L23),4))</f>
        <v/>
      </c>
      <c r="AE23" s="144" t="str">
        <f>IF($D23=" ","",ROUND(ABS(_xll.RtGet(SourceAlias,$M23,BID)-N23),4))</f>
        <v/>
      </c>
      <c r="AF23" s="144" t="str">
        <f>IF($D23=" ","",ROUND(ABS(_xll.RtGet(SourceAlias,$M23,ASK)-O23),4))</f>
        <v/>
      </c>
      <c r="AG23" s="144" t="str">
        <f>IF($E23=" ","",ROUND(ABS(_xll.RtGet(SourceAlias,$P23,BID)-Q23),4))</f>
        <v/>
      </c>
      <c r="AH23" s="144" t="str">
        <f>IF($E23=" ","",ROUND(ABS(_xll.RtGet(SourceAlias,$P23,ASK)-R23),4))</f>
        <v/>
      </c>
      <c r="AI23" s="144" t="str">
        <f>IF($F23=" ","",ROUND(ABS(_xll.RtGet(SourceAlias,$S23,BID)-T23),4))</f>
        <v/>
      </c>
      <c r="AJ23" s="144" t="str">
        <f>IF($F23=" ","",ROUND(ABS(_xll.RtGet(SourceAlias,$S23,ASK)-U23),4))</f>
        <v/>
      </c>
      <c r="AK23" s="144">
        <f>IF($G23=" ","",ROUND(ABS(_xll.RtGet(SourceAlias,$V23,BID)-W23),4))</f>
        <v>0</v>
      </c>
      <c r="AL23" s="144">
        <f>IF($G23=" ","",ROUND(ABS(_xll.RtGet(SourceAlias,$V23,ASK)-X23),4))</f>
        <v>0</v>
      </c>
      <c r="AM23" s="144" t="str">
        <f>IF($H23=" ","",ROUND(ABS(_xll.RtGet(SourceAlias,$Y23,BID)-Z23),4))</f>
        <v/>
      </c>
      <c r="AN23" s="144" t="str">
        <f>IF($H23=" ","",ROUND(ABS(_xll.RtGet(SourceAlias,$Y23,ASK)-AA23),4))</f>
        <v/>
      </c>
    </row>
    <row r="24" spans="1:40" ht="11.25" customHeight="1" x14ac:dyDescent="0.2">
      <c r="A24" s="195"/>
      <c r="B24" s="169" t="s">
        <v>116</v>
      </c>
      <c r="C24" s="89" t="s">
        <v>46</v>
      </c>
      <c r="D24" s="89" t="s">
        <v>46</v>
      </c>
      <c r="E24" s="89" t="s">
        <v>46</v>
      </c>
      <c r="F24" s="89" t="s">
        <v>46</v>
      </c>
      <c r="G24" s="138" t="s">
        <v>46</v>
      </c>
      <c r="H24" s="138" t="s">
        <v>46</v>
      </c>
      <c r="I24" s="18" t="s">
        <v>46</v>
      </c>
      <c r="J24" s="118" t="str">
        <v>USD_CURVE_DEP1M_#20160316</v>
      </c>
      <c r="K24" s="119">
        <f>IF(J24="","",'1M Pricing'!I24*100)</f>
        <v>0.3328462649992579</v>
      </c>
      <c r="L24" s="119">
        <f t="shared" si="0"/>
        <v>0.3328462649992579</v>
      </c>
      <c r="M24" s="118" t="str">
        <v>USD_CURVE_DEP3M_#20160316</v>
      </c>
      <c r="N24" s="119">
        <f>IF(M24="","",'3M Pricing'!$I24*100)</f>
        <v>0.40603822626761321</v>
      </c>
      <c r="O24" s="119">
        <f t="shared" si="1"/>
        <v>0.40603822626761321</v>
      </c>
      <c r="P24" s="118" t="str">
        <v>USD_CURVE_DEP6M_#20160316</v>
      </c>
      <c r="Q24" s="119">
        <f>IF(P24="","",'6M Pricing'!$I24*100)</f>
        <v>0.54096998968530519</v>
      </c>
      <c r="R24" s="119">
        <f t="shared" si="2"/>
        <v>0.54096998968530519</v>
      </c>
      <c r="S24" s="118" t="str">
        <v>USD_CURVE_DEP12M_#20160316</v>
      </c>
      <c r="T24" s="119">
        <f>IF(S24="","",'1Y Pricing'!$I24*100)</f>
        <v>0.86337189583754526</v>
      </c>
      <c r="U24" s="119">
        <f t="shared" si="3"/>
        <v>0.86337189583754526</v>
      </c>
      <c r="V24" s="121" t="str">
        <v/>
      </c>
      <c r="W24" s="119" t="str">
        <f>IF(V24="","",'ON Pricing'!$G24*100)</f>
        <v/>
      </c>
      <c r="X24" s="119" t="str">
        <f t="shared" si="4"/>
        <v/>
      </c>
      <c r="Y24" s="121" t="str">
        <v/>
      </c>
      <c r="Z24" s="119" t="str">
        <f>IF(Y24="","",'STD Pricing'!$G24*100)</f>
        <v/>
      </c>
      <c r="AA24" s="119" t="str">
        <f t="shared" si="5"/>
        <v/>
      </c>
      <c r="AB24" s="23" t="s">
        <v>46</v>
      </c>
      <c r="AC24" s="144" t="str">
        <f>IF($C24=" ","",ROUND(ABS(_xll.RtGet(SourceAlias,$J24,BID)-K24),4))</f>
        <v/>
      </c>
      <c r="AD24" s="144" t="str">
        <f>IF($C24=" ","",ROUND(ABS(_xll.RtGet(SourceAlias,$J24,ASK)-L24),4))</f>
        <v/>
      </c>
      <c r="AE24" s="144" t="str">
        <f>IF($D24=" ","",ROUND(ABS(_xll.RtGet(SourceAlias,$M24,BID)-N24),4))</f>
        <v/>
      </c>
      <c r="AF24" s="144" t="str">
        <f>IF($D24=" ","",ROUND(ABS(_xll.RtGet(SourceAlias,$M24,ASK)-O24),4))</f>
        <v/>
      </c>
      <c r="AG24" s="144" t="str">
        <f>IF($E24=" ","",ROUND(ABS(_xll.RtGet(SourceAlias,$P24,BID)-Q24),4))</f>
        <v/>
      </c>
      <c r="AH24" s="144" t="str">
        <f>IF($E24=" ","",ROUND(ABS(_xll.RtGet(SourceAlias,$P24,ASK)-R24),4))</f>
        <v/>
      </c>
      <c r="AI24" s="144" t="str">
        <f>IF($F24=" ","",ROUND(ABS(_xll.RtGet(SourceAlias,$S24,BID)-T24),4))</f>
        <v/>
      </c>
      <c r="AJ24" s="144" t="str">
        <f>IF($F24=" ","",ROUND(ABS(_xll.RtGet(SourceAlias,$S24,ASK)-U24),4))</f>
        <v/>
      </c>
      <c r="AK24" s="144" t="str">
        <f>IF($G24=" ","",ROUND(ABS(_xll.RtGet(SourceAlias,$V24,BID)-W24),4))</f>
        <v/>
      </c>
      <c r="AL24" s="144" t="str">
        <f>IF($G24=" ","",ROUND(ABS(_xll.RtGet(SourceAlias,$V24,ASK)-X24),4))</f>
        <v/>
      </c>
      <c r="AM24" s="144" t="str">
        <f>IF($H24=" ","",ROUND(ABS(_xll.RtGet(SourceAlias,$Y24,BID)-Z24),4))</f>
        <v/>
      </c>
      <c r="AN24" s="144" t="str">
        <f>IF($H24=" ","",ROUND(ABS(_xll.RtGet(SourceAlias,$Y24,ASK)-AA24),4))</f>
        <v/>
      </c>
    </row>
    <row r="25" spans="1:40" ht="11.25" customHeight="1" x14ac:dyDescent="0.2">
      <c r="A25" s="194" t="s">
        <v>121</v>
      </c>
      <c r="B25" s="49"/>
      <c r="C25" s="86" t="s">
        <v>46</v>
      </c>
      <c r="D25" s="86" t="s">
        <v>46</v>
      </c>
      <c r="E25" s="86" t="s">
        <v>46</v>
      </c>
      <c r="F25" s="86" t="s">
        <v>46</v>
      </c>
      <c r="G25" s="136" t="s">
        <v>46</v>
      </c>
      <c r="H25" s="136" t="s">
        <v>46</v>
      </c>
      <c r="I25" s="18" t="s">
        <v>46</v>
      </c>
      <c r="J25" s="115" t="str">
        <v>USD_CURVE_FUT1M_U5</v>
      </c>
      <c r="K25" s="116">
        <f>IF(J25="","",'1M Pricing'!$I25)</f>
        <v>99.722067821266052</v>
      </c>
      <c r="L25" s="116">
        <f t="shared" si="0"/>
        <v>99.722067821266052</v>
      </c>
      <c r="M25" s="117" t="str">
        <v>USD_CURVE_FUT3M_U5</v>
      </c>
      <c r="N25" s="116">
        <f>IF(M25="","",'3M Pricing'!$I25)</f>
        <v>99.656295539604301</v>
      </c>
      <c r="O25" s="116">
        <f t="shared" si="1"/>
        <v>99.656295539604301</v>
      </c>
      <c r="P25" s="117" t="str">
        <v>USD_CURVE_FUT6M_U5</v>
      </c>
      <c r="Q25" s="116">
        <f>IF(P25="","",'6M Pricing'!$I25)</f>
        <v>99.491230408088768</v>
      </c>
      <c r="R25" s="116">
        <f t="shared" si="2"/>
        <v>99.491230408088768</v>
      </c>
      <c r="S25" s="117" t="str">
        <v>USD_CURVE_FUT12M_U5</v>
      </c>
      <c r="T25" s="116">
        <f>IF(S25="","",'1Y Pricing'!$I25)</f>
        <v>99.132068143759241</v>
      </c>
      <c r="U25" s="116">
        <f t="shared" si="3"/>
        <v>99.132068143759241</v>
      </c>
      <c r="V25" s="115" t="str">
        <v/>
      </c>
      <c r="W25" s="116" t="str">
        <f>IF(V25="","",'ON Pricing'!#REF!*100)</f>
        <v/>
      </c>
      <c r="X25" s="116" t="str">
        <f t="shared" si="4"/>
        <v/>
      </c>
      <c r="Y25" s="115" t="str">
        <v/>
      </c>
      <c r="Z25" s="116" t="str">
        <f>IF(Y25="","",'STD Pricing'!$G25*100)</f>
        <v/>
      </c>
      <c r="AA25" s="116" t="str">
        <f t="shared" si="5"/>
        <v/>
      </c>
      <c r="AB25" s="23" t="s">
        <v>46</v>
      </c>
      <c r="AC25" s="142" t="str">
        <f>IF($C25=" ","",ROUND(ABS(_xll.RtGet(SourceAlias,$J25,BID)-K25),4))</f>
        <v/>
      </c>
      <c r="AD25" s="142" t="str">
        <f>IF($C25=" ","",ROUND(ABS(_xll.RtGet(SourceAlias,$J25,ASK)-L25),4))</f>
        <v/>
      </c>
      <c r="AE25" s="142" t="str">
        <f>IF($D25=" ","",ROUND(ABS(_xll.RtGet(SourceAlias,$M25,BID)-N25),4))</f>
        <v/>
      </c>
      <c r="AF25" s="142" t="str">
        <f>IF($D25=" ","",ROUND(ABS(_xll.RtGet(SourceAlias,$M25,ASK)-O25),4))</f>
        <v/>
      </c>
      <c r="AG25" s="142" t="str">
        <f>IF($E25=" ","",ROUND(ABS(_xll.RtGet(SourceAlias,$P25,BID)-Q25),4))</f>
        <v/>
      </c>
      <c r="AH25" s="142" t="str">
        <f>IF($E25=" ","",ROUND(ABS(_xll.RtGet(SourceAlias,$P25,ASK)-R25),4))</f>
        <v/>
      </c>
      <c r="AI25" s="142" t="str">
        <f>IF($F25=" ","",ROUND(ABS(_xll.RtGet(SourceAlias,$S25,BID)-T25),4))</f>
        <v/>
      </c>
      <c r="AJ25" s="142" t="str">
        <f>IF($F25=" ","",ROUND(ABS(_xll.RtGet(SourceAlias,$S25,ASK)-U25),4))</f>
        <v/>
      </c>
      <c r="AK25" s="142" t="str">
        <f>IF($G25=" ","",ROUND(ABS(_xll.RtGet(SourceAlias,$V25,BID)-W25),4))</f>
        <v/>
      </c>
      <c r="AL25" s="142" t="str">
        <f>IF($G25=" ","",ROUND(ABS(_xll.RtGet(SourceAlias,$V25,ASK)-X25),4))</f>
        <v/>
      </c>
      <c r="AM25" s="142" t="str">
        <f>IF($H25=" ","",ROUND(ABS(_xll.RtGet(SourceAlias,$Y25,BID)-Z25),4))</f>
        <v/>
      </c>
      <c r="AN25" s="142" t="str">
        <f>IF($H25=" ","",ROUND(ABS(_xll.RtGet(SourceAlias,$Y25,ASK)-AA25),4))</f>
        <v/>
      </c>
    </row>
    <row r="26" spans="1:40" x14ac:dyDescent="0.2">
      <c r="A26" s="195"/>
      <c r="B26" s="49"/>
      <c r="C26" s="86" t="s">
        <v>46</v>
      </c>
      <c r="D26" s="86" t="s">
        <v>46</v>
      </c>
      <c r="E26" s="86" t="s">
        <v>46</v>
      </c>
      <c r="F26" s="86" t="s">
        <v>46</v>
      </c>
      <c r="G26" s="136" t="s">
        <v>46</v>
      </c>
      <c r="H26" s="136" t="s">
        <v>46</v>
      </c>
      <c r="I26" s="18" t="s">
        <v>46</v>
      </c>
      <c r="J26" s="115" t="str">
        <v>USD_CURVE_FUT1M_Z5</v>
      </c>
      <c r="K26" s="116">
        <f>IF(J26="","",'1M Pricing'!$I26)</f>
        <v>99.607062370086211</v>
      </c>
      <c r="L26" s="116">
        <f t="shared" si="0"/>
        <v>99.607062370086211</v>
      </c>
      <c r="M26" s="117" t="str">
        <v>USD_CURVE_FUT3M_Z5</v>
      </c>
      <c r="N26" s="116">
        <f>IF(M26="","",'3M Pricing'!$I26)</f>
        <v>99.523328428454022</v>
      </c>
      <c r="O26" s="116">
        <f t="shared" si="1"/>
        <v>99.523328428454022</v>
      </c>
      <c r="P26" s="117" t="str">
        <v>USD_CURVE_FUT6M_Z5</v>
      </c>
      <c r="Q26" s="116">
        <f>IF(P26="","",'6M Pricing'!$I26)</f>
        <v>99.426339215906296</v>
      </c>
      <c r="R26" s="116">
        <f t="shared" si="2"/>
        <v>99.426339215906296</v>
      </c>
      <c r="S26" s="117" t="str">
        <v>USD_CURVE_FUT12M_Z5</v>
      </c>
      <c r="T26" s="116">
        <f>IF(S26="","",'1Y Pricing'!$I26)</f>
        <v>99.144323843902342</v>
      </c>
      <c r="U26" s="116">
        <f t="shared" si="3"/>
        <v>99.144323843902342</v>
      </c>
      <c r="V26" s="115" t="str">
        <v/>
      </c>
      <c r="W26" s="116" t="str">
        <f>IF(V26="","",'ON Pricing'!#REF!*100)</f>
        <v/>
      </c>
      <c r="X26" s="116" t="str">
        <f t="shared" si="4"/>
        <v/>
      </c>
      <c r="Y26" s="115" t="str">
        <v/>
      </c>
      <c r="Z26" s="116" t="str">
        <f>IF(Y26="","",'STD Pricing'!$G26*100)</f>
        <v/>
      </c>
      <c r="AA26" s="116" t="str">
        <f t="shared" si="5"/>
        <v/>
      </c>
      <c r="AB26" s="23" t="s">
        <v>46</v>
      </c>
      <c r="AC26" s="142" t="str">
        <f>IF($C26=" ","",ROUND(ABS(_xll.RtGet(SourceAlias,$J26,BID)-K26),4))</f>
        <v/>
      </c>
      <c r="AD26" s="142" t="str">
        <f>IF($C26=" ","",ROUND(ABS(_xll.RtGet(SourceAlias,$J26,ASK)-L26),4))</f>
        <v/>
      </c>
      <c r="AE26" s="142" t="str">
        <f>IF($D26=" ","",ROUND(ABS(_xll.RtGet(SourceAlias,$M26,BID)-N26),4))</f>
        <v/>
      </c>
      <c r="AF26" s="142" t="str">
        <f>IF($D26=" ","",ROUND(ABS(_xll.RtGet(SourceAlias,$M26,ASK)-O26),4))</f>
        <v/>
      </c>
      <c r="AG26" s="142" t="str">
        <f>IF($E26=" ","",ROUND(ABS(_xll.RtGet(SourceAlias,$P26,BID)-Q26),4))</f>
        <v/>
      </c>
      <c r="AH26" s="142" t="str">
        <f>IF($E26=" ","",ROUND(ABS(_xll.RtGet(SourceAlias,$P26,ASK)-R26),4))</f>
        <v/>
      </c>
      <c r="AI26" s="142" t="str">
        <f>IF($F26=" ","",ROUND(ABS(_xll.RtGet(SourceAlias,$S26,BID)-T26),4))</f>
        <v/>
      </c>
      <c r="AJ26" s="142" t="str">
        <f>IF($F26=" ","",ROUND(ABS(_xll.RtGet(SourceAlias,$S26,ASK)-U26),4))</f>
        <v/>
      </c>
      <c r="AK26" s="142" t="str">
        <f>IF($G26=" ","",ROUND(ABS(_xll.RtGet(SourceAlias,$V26,BID)-W26),4))</f>
        <v/>
      </c>
      <c r="AL26" s="142" t="str">
        <f>IF($G26=" ","",ROUND(ABS(_xll.RtGet(SourceAlias,$V26,ASK)-X26),4))</f>
        <v/>
      </c>
      <c r="AM26" s="142" t="str">
        <f>IF($H26=" ","",ROUND(ABS(_xll.RtGet(SourceAlias,$Y26,BID)-Z26),4))</f>
        <v/>
      </c>
      <c r="AN26" s="142" t="str">
        <f>IF($H26=" ","",ROUND(ABS(_xll.RtGet(SourceAlias,$Y26,ASK)-AA26),4))</f>
        <v/>
      </c>
    </row>
    <row r="27" spans="1:40" x14ac:dyDescent="0.2">
      <c r="A27" s="195"/>
      <c r="B27" s="49"/>
      <c r="C27" s="86" t="s">
        <v>46</v>
      </c>
      <c r="D27" s="86" t="s">
        <v>46</v>
      </c>
      <c r="E27" s="86" t="s">
        <v>46</v>
      </c>
      <c r="F27" s="86" t="s">
        <v>46</v>
      </c>
      <c r="G27" s="136" t="s">
        <v>46</v>
      </c>
      <c r="H27" s="136" t="s">
        <v>46</v>
      </c>
      <c r="I27" s="18" t="s">
        <v>46</v>
      </c>
      <c r="J27" s="115" t="str">
        <v>USD_CURVE_FUT1M_H6</v>
      </c>
      <c r="K27" s="116">
        <f>IF(J27="","",'1M Pricing'!$I27)</f>
        <v>99.487826134659358</v>
      </c>
      <c r="L27" s="116">
        <f t="shared" si="0"/>
        <v>99.487826134659358</v>
      </c>
      <c r="M27" s="117" t="str">
        <v>USD_CURVE_FUT3M_H6</v>
      </c>
      <c r="N27" s="116">
        <f>IF(M27="","",'3M Pricing'!$I27)</f>
        <v>99.394602002635835</v>
      </c>
      <c r="O27" s="116">
        <f t="shared" si="1"/>
        <v>99.394602002635835</v>
      </c>
      <c r="P27" s="117" t="str">
        <v>USD_CURVE_FUT6M_H6</v>
      </c>
      <c r="Q27" s="116">
        <f>IF(P27="","",'6M Pricing'!$I27)</f>
        <v>99.272794380601951</v>
      </c>
      <c r="R27" s="116">
        <f t="shared" si="2"/>
        <v>99.272794380601951</v>
      </c>
      <c r="S27" s="117" t="str">
        <v>USD_CURVE_FUT12M_H6</v>
      </c>
      <c r="T27" s="116">
        <f>IF(S27="","",'1Y Pricing'!$I27)</f>
        <v>99.15613062399818</v>
      </c>
      <c r="U27" s="116">
        <f t="shared" si="3"/>
        <v>99.15613062399818</v>
      </c>
      <c r="V27" s="115" t="str">
        <v/>
      </c>
      <c r="W27" s="116" t="str">
        <f>IF(V27="","",'ON Pricing'!#REF!*100)</f>
        <v/>
      </c>
      <c r="X27" s="116" t="str">
        <f t="shared" si="4"/>
        <v/>
      </c>
      <c r="Y27" s="115" t="str">
        <v/>
      </c>
      <c r="Z27" s="116" t="str">
        <f>IF(Y27="","",'STD Pricing'!$G27*100)</f>
        <v/>
      </c>
      <c r="AA27" s="116" t="str">
        <f t="shared" si="5"/>
        <v/>
      </c>
      <c r="AB27" s="23" t="s">
        <v>46</v>
      </c>
      <c r="AC27" s="142" t="str">
        <f>IF($C27=" ","",ROUND(ABS(_xll.RtGet(SourceAlias,$J27,BID)-K27),4))</f>
        <v/>
      </c>
      <c r="AD27" s="142" t="str">
        <f>IF($C27=" ","",ROUND(ABS(_xll.RtGet(SourceAlias,$J27,ASK)-L27),4))</f>
        <v/>
      </c>
      <c r="AE27" s="142" t="str">
        <f>IF($D27=" ","",ROUND(ABS(_xll.RtGet(SourceAlias,$M27,BID)-N27),4))</f>
        <v/>
      </c>
      <c r="AF27" s="142" t="str">
        <f>IF($D27=" ","",ROUND(ABS(_xll.RtGet(SourceAlias,$M27,ASK)-O27),4))</f>
        <v/>
      </c>
      <c r="AG27" s="142" t="str">
        <f>IF($E27=" ","",ROUND(ABS(_xll.RtGet(SourceAlias,$P27,BID)-Q27),4))</f>
        <v/>
      </c>
      <c r="AH27" s="142" t="str">
        <f>IF($E27=" ","",ROUND(ABS(_xll.RtGet(SourceAlias,$P27,ASK)-R27),4))</f>
        <v/>
      </c>
      <c r="AI27" s="142" t="str">
        <f>IF($F27=" ","",ROUND(ABS(_xll.RtGet(SourceAlias,$S27,BID)-T27),4))</f>
        <v/>
      </c>
      <c r="AJ27" s="142" t="str">
        <f>IF($F27=" ","",ROUND(ABS(_xll.RtGet(SourceAlias,$S27,ASK)-U27),4))</f>
        <v/>
      </c>
      <c r="AK27" s="142" t="str">
        <f>IF($G27=" ","",ROUND(ABS(_xll.RtGet(SourceAlias,$V27,BID)-W27),4))</f>
        <v/>
      </c>
      <c r="AL27" s="142" t="str">
        <f>IF($G27=" ","",ROUND(ABS(_xll.RtGet(SourceAlias,$V27,ASK)-X27),4))</f>
        <v/>
      </c>
      <c r="AM27" s="142" t="str">
        <f>IF($H27=" ","",ROUND(ABS(_xll.RtGet(SourceAlias,$Y27,BID)-Z27),4))</f>
        <v/>
      </c>
      <c r="AN27" s="142" t="str">
        <f>IF($H27=" ","",ROUND(ABS(_xll.RtGet(SourceAlias,$Y27,ASK)-AA27),4))</f>
        <v/>
      </c>
    </row>
    <row r="28" spans="1:40" x14ac:dyDescent="0.2">
      <c r="A28" s="195"/>
      <c r="B28" s="49"/>
      <c r="C28" s="86" t="s">
        <v>46</v>
      </c>
      <c r="D28" s="86" t="s">
        <v>46</v>
      </c>
      <c r="E28" s="86" t="s">
        <v>46</v>
      </c>
      <c r="F28" s="86" t="s">
        <v>46</v>
      </c>
      <c r="G28" s="136" t="s">
        <v>46</v>
      </c>
      <c r="H28" s="136" t="s">
        <v>46</v>
      </c>
      <c r="I28" s="18" t="s">
        <v>46</v>
      </c>
      <c r="J28" s="115" t="str">
        <v>USD_CURVE_FUT1M_M6</v>
      </c>
      <c r="K28" s="116">
        <f>IF(J28="","",'1M Pricing'!$I28)</f>
        <v>99.346593316291134</v>
      </c>
      <c r="L28" s="116">
        <f t="shared" si="0"/>
        <v>99.346593316291134</v>
      </c>
      <c r="M28" s="117" t="str">
        <v>USD_CURVE_FUT3M_M6</v>
      </c>
      <c r="N28" s="116">
        <f>IF(M28="","",'3M Pricing'!$I28)</f>
        <v>99.246338958943994</v>
      </c>
      <c r="O28" s="116">
        <f t="shared" si="1"/>
        <v>99.246338958943994</v>
      </c>
      <c r="P28" s="117" t="str">
        <v>USD_CURVE_FUT6M_M6</v>
      </c>
      <c r="Q28" s="116">
        <f>IF(P28="","",'6M Pricing'!$I28)</f>
        <v>99.174806437843941</v>
      </c>
      <c r="R28" s="116">
        <f t="shared" si="2"/>
        <v>99.174806437843941</v>
      </c>
      <c r="S28" s="117" t="str">
        <v>USD_CURVE_FUT12M_M6</v>
      </c>
      <c r="T28" s="116">
        <f>IF(S28="","",'1Y Pricing'!$I28)</f>
        <v>99.15359475661819</v>
      </c>
      <c r="U28" s="116">
        <f t="shared" si="3"/>
        <v>99.15359475661819</v>
      </c>
      <c r="V28" s="115" t="str">
        <v/>
      </c>
      <c r="W28" s="116" t="str">
        <f>IF(V28="","",'ON Pricing'!#REF!*100)</f>
        <v/>
      </c>
      <c r="X28" s="116" t="str">
        <f t="shared" si="4"/>
        <v/>
      </c>
      <c r="Y28" s="115" t="str">
        <v/>
      </c>
      <c r="Z28" s="116" t="str">
        <f>IF(Y28="","",'STD Pricing'!$G28*100)</f>
        <v/>
      </c>
      <c r="AA28" s="116" t="str">
        <f t="shared" si="5"/>
        <v/>
      </c>
      <c r="AB28" s="23" t="s">
        <v>46</v>
      </c>
      <c r="AC28" s="142" t="str">
        <f>IF($C28=" ","",ROUND(ABS(_xll.RtGet(SourceAlias,$J28,BID)-K28),4))</f>
        <v/>
      </c>
      <c r="AD28" s="142" t="str">
        <f>IF($C28=" ","",ROUND(ABS(_xll.RtGet(SourceAlias,$J28,ASK)-L28),4))</f>
        <v/>
      </c>
      <c r="AE28" s="142" t="str">
        <f>IF($D28=" ","",ROUND(ABS(_xll.RtGet(SourceAlias,$M28,BID)-N28),4))</f>
        <v/>
      </c>
      <c r="AF28" s="142" t="str">
        <f>IF($D28=" ","",ROUND(ABS(_xll.RtGet(SourceAlias,$M28,ASK)-O28),4))</f>
        <v/>
      </c>
      <c r="AG28" s="142" t="str">
        <f>IF($E28=" ","",ROUND(ABS(_xll.RtGet(SourceAlias,$P28,BID)-Q28),4))</f>
        <v/>
      </c>
      <c r="AH28" s="142" t="str">
        <f>IF($E28=" ","",ROUND(ABS(_xll.RtGet(SourceAlias,$P28,ASK)-R28),4))</f>
        <v/>
      </c>
      <c r="AI28" s="142" t="str">
        <f>IF($F28=" ","",ROUND(ABS(_xll.RtGet(SourceAlias,$S28,BID)-T28),4))</f>
        <v/>
      </c>
      <c r="AJ28" s="142" t="str">
        <f>IF($F28=" ","",ROUND(ABS(_xll.RtGet(SourceAlias,$S28,ASK)-U28),4))</f>
        <v/>
      </c>
      <c r="AK28" s="142" t="str">
        <f>IF($G28=" ","",ROUND(ABS(_xll.RtGet(SourceAlias,$V28,BID)-W28),4))</f>
        <v/>
      </c>
      <c r="AL28" s="142" t="str">
        <f>IF($G28=" ","",ROUND(ABS(_xll.RtGet(SourceAlias,$V28,ASK)-X28),4))</f>
        <v/>
      </c>
      <c r="AM28" s="142" t="str">
        <f>IF($H28=" ","",ROUND(ABS(_xll.RtGet(SourceAlias,$Y28,BID)-Z28),4))</f>
        <v/>
      </c>
      <c r="AN28" s="142" t="str">
        <f>IF($H28=" ","",ROUND(ABS(_xll.RtGet(SourceAlias,$Y28,ASK)-AA28),4))</f>
        <v/>
      </c>
    </row>
    <row r="29" spans="1:40" x14ac:dyDescent="0.2">
      <c r="A29" s="195"/>
      <c r="B29" s="49"/>
      <c r="C29" s="86" t="s">
        <v>46</v>
      </c>
      <c r="D29" s="86" t="s">
        <v>46</v>
      </c>
      <c r="E29" s="86" t="s">
        <v>46</v>
      </c>
      <c r="F29" s="86" t="s">
        <v>46</v>
      </c>
      <c r="G29" s="136" t="s">
        <v>46</v>
      </c>
      <c r="H29" s="136" t="s">
        <v>46</v>
      </c>
      <c r="I29" s="18" t="s">
        <v>46</v>
      </c>
      <c r="J29" s="115" t="str">
        <v>USD_CURVE_FUT1M_U6</v>
      </c>
      <c r="K29" s="116">
        <f>IF(J29="","",'1M Pricing'!$I29)</f>
        <v>99.169201595070277</v>
      </c>
      <c r="L29" s="116">
        <f t="shared" si="0"/>
        <v>99.169201595070277</v>
      </c>
      <c r="M29" s="117" t="str">
        <v>USD_CURVE_FUT3M_U6</v>
      </c>
      <c r="N29" s="116">
        <f>IF(M29="","",'3M Pricing'!$I29)</f>
        <v>99.068700959016581</v>
      </c>
      <c r="O29" s="116">
        <f t="shared" si="1"/>
        <v>99.068700959016581</v>
      </c>
      <c r="P29" s="117" t="str">
        <v>USD_CURVE_FUT6M_U6</v>
      </c>
      <c r="Q29" s="116">
        <f>IF(P29="","",'6M Pricing'!$I29)</f>
        <v>98.964705341642954</v>
      </c>
      <c r="R29" s="116">
        <f t="shared" si="2"/>
        <v>98.964705341642954</v>
      </c>
      <c r="S29" s="117" t="str">
        <v>USD_CURVE_FUT12M_U6</v>
      </c>
      <c r="T29" s="116">
        <f>IF(S29="","",'1Y Pricing'!$I29)</f>
        <v>99.08187215146782</v>
      </c>
      <c r="U29" s="116">
        <f t="shared" si="3"/>
        <v>99.08187215146782</v>
      </c>
      <c r="V29" s="115" t="str">
        <v/>
      </c>
      <c r="W29" s="116" t="str">
        <f>IF(V29="","",'ON Pricing'!#REF!*100)</f>
        <v/>
      </c>
      <c r="X29" s="116" t="str">
        <f t="shared" si="4"/>
        <v/>
      </c>
      <c r="Y29" s="115" t="str">
        <v/>
      </c>
      <c r="Z29" s="116" t="str">
        <f>IF(Y29="","",'STD Pricing'!$G29*100)</f>
        <v/>
      </c>
      <c r="AA29" s="116" t="str">
        <f t="shared" si="5"/>
        <v/>
      </c>
      <c r="AC29" s="142" t="str">
        <f>IF($C29=" ","",ROUND(ABS(_xll.RtGet(SourceAlias,$J29,BID)-K29),4))</f>
        <v/>
      </c>
      <c r="AD29" s="142" t="str">
        <f>IF($C29=" ","",ROUND(ABS(_xll.RtGet(SourceAlias,$J29,ASK)-L29),4))</f>
        <v/>
      </c>
      <c r="AE29" s="142" t="str">
        <f>IF($D29=" ","",ROUND(ABS(_xll.RtGet(SourceAlias,$M29,BID)-N29),4))</f>
        <v/>
      </c>
      <c r="AF29" s="142" t="str">
        <f>IF($D29=" ","",ROUND(ABS(_xll.RtGet(SourceAlias,$M29,ASK)-O29),4))</f>
        <v/>
      </c>
      <c r="AG29" s="142" t="str">
        <f>IF($E29=" ","",ROUND(ABS(_xll.RtGet(SourceAlias,$P29,BID)-Q29),4))</f>
        <v/>
      </c>
      <c r="AH29" s="142" t="str">
        <f>IF($E29=" ","",ROUND(ABS(_xll.RtGet(SourceAlias,$P29,ASK)-R29),4))</f>
        <v/>
      </c>
      <c r="AI29" s="142" t="str">
        <f>IF($F29=" ","",ROUND(ABS(_xll.RtGet(SourceAlias,$S29,BID)-T29),4))</f>
        <v/>
      </c>
      <c r="AJ29" s="142" t="str">
        <f>IF($F29=" ","",ROUND(ABS(_xll.RtGet(SourceAlias,$S29,ASK)-U29),4))</f>
        <v/>
      </c>
      <c r="AK29" s="142" t="str">
        <f>IF($G29=" ","",ROUND(ABS(_xll.RtGet(SourceAlias,$V29,BID)-W29),4))</f>
        <v/>
      </c>
      <c r="AL29" s="142" t="str">
        <f>IF($G29=" ","",ROUND(ABS(_xll.RtGet(SourceAlias,$V29,ASK)-X29),4))</f>
        <v/>
      </c>
      <c r="AM29" s="142" t="str">
        <f>IF($H29=" ","",ROUND(ABS(_xll.RtGet(SourceAlias,$Y29,BID)-Z29),4))</f>
        <v/>
      </c>
      <c r="AN29" s="142" t="str">
        <f>IF($H29=" ","",ROUND(ABS(_xll.RtGet(SourceAlias,$Y29,ASK)-AA29),4))</f>
        <v/>
      </c>
    </row>
    <row r="30" spans="1:40" x14ac:dyDescent="0.2">
      <c r="A30" s="195"/>
      <c r="B30" s="49"/>
      <c r="C30" s="86" t="s">
        <v>46</v>
      </c>
      <c r="D30" s="86" t="s">
        <v>46</v>
      </c>
      <c r="E30" s="86" t="s">
        <v>46</v>
      </c>
      <c r="F30" s="86" t="s">
        <v>46</v>
      </c>
      <c r="G30" s="136" t="s">
        <v>46</v>
      </c>
      <c r="H30" s="136" t="s">
        <v>46</v>
      </c>
      <c r="I30" s="18" t="s">
        <v>46</v>
      </c>
      <c r="J30" s="115" t="str">
        <v>USD_CURVE_FUT1M_Z6</v>
      </c>
      <c r="K30" s="116">
        <f>IF(J30="","",'1M Pricing'!$I30)</f>
        <v>99.011183194811011</v>
      </c>
      <c r="L30" s="116">
        <f t="shared" si="0"/>
        <v>99.011183194811011</v>
      </c>
      <c r="M30" s="117" t="str">
        <v>USD_CURVE_FUT3M_Z6</v>
      </c>
      <c r="N30" s="116">
        <f>IF(M30="","",'3M Pricing'!$I30)</f>
        <v>98.891348733093039</v>
      </c>
      <c r="O30" s="116">
        <f t="shared" si="1"/>
        <v>98.891348733093039</v>
      </c>
      <c r="P30" s="117" t="str">
        <v>USD_CURVE_FUT6M_Z6</v>
      </c>
      <c r="Q30" s="116">
        <f>IF(P30="","",'6M Pricing'!$I30)</f>
        <v>98.847654003924561</v>
      </c>
      <c r="R30" s="116">
        <f t="shared" si="2"/>
        <v>98.847654003924561</v>
      </c>
      <c r="S30" s="117" t="str">
        <v>USD_CURVE_FUT12M_Z6</v>
      </c>
      <c r="T30" s="116">
        <f>IF(S30="","",'1Y Pricing'!$I30)</f>
        <v>98.494700972713019</v>
      </c>
      <c r="U30" s="116">
        <f t="shared" si="3"/>
        <v>98.494700972713019</v>
      </c>
      <c r="V30" s="115" t="str">
        <v/>
      </c>
      <c r="W30" s="116" t="str">
        <f>IF(V30="","",'ON Pricing'!#REF!*100)</f>
        <v/>
      </c>
      <c r="X30" s="116" t="str">
        <f t="shared" si="4"/>
        <v/>
      </c>
      <c r="Y30" s="115" t="str">
        <v/>
      </c>
      <c r="Z30" s="116" t="str">
        <f>IF(Y30="","",'STD Pricing'!$G30*100)</f>
        <v/>
      </c>
      <c r="AA30" s="116" t="str">
        <f t="shared" si="5"/>
        <v/>
      </c>
      <c r="AC30" s="142" t="str">
        <f>IF($C30=" ","",ROUND(ABS(_xll.RtGet(SourceAlias,$J30,BID)-K30),4))</f>
        <v/>
      </c>
      <c r="AD30" s="142" t="str">
        <f>IF($C30=" ","",ROUND(ABS(_xll.RtGet(SourceAlias,$J30,ASK)-L30),4))</f>
        <v/>
      </c>
      <c r="AE30" s="142" t="str">
        <f>IF($D30=" ","",ROUND(ABS(_xll.RtGet(SourceAlias,$M30,BID)-N30),4))</f>
        <v/>
      </c>
      <c r="AF30" s="142" t="str">
        <f>IF($D30=" ","",ROUND(ABS(_xll.RtGet(SourceAlias,$M30,ASK)-O30),4))</f>
        <v/>
      </c>
      <c r="AG30" s="142" t="str">
        <f>IF($E30=" ","",ROUND(ABS(_xll.RtGet(SourceAlias,$P30,BID)-Q30),4))</f>
        <v/>
      </c>
      <c r="AH30" s="142" t="str">
        <f>IF($E30=" ","",ROUND(ABS(_xll.RtGet(SourceAlias,$P30,ASK)-R30),4))</f>
        <v/>
      </c>
      <c r="AI30" s="142" t="str">
        <f>IF($F30=" ","",ROUND(ABS(_xll.RtGet(SourceAlias,$S30,BID)-T30),4))</f>
        <v/>
      </c>
      <c r="AJ30" s="142" t="str">
        <f>IF($F30=" ","",ROUND(ABS(_xll.RtGet(SourceAlias,$S30,ASK)-U30),4))</f>
        <v/>
      </c>
      <c r="AK30" s="142" t="str">
        <f>IF($G30=" ","",ROUND(ABS(_xll.RtGet(SourceAlias,$V30,BID)-W30),4))</f>
        <v/>
      </c>
      <c r="AL30" s="142" t="str">
        <f>IF($G30=" ","",ROUND(ABS(_xll.RtGet(SourceAlias,$V30,ASK)-X30),4))</f>
        <v/>
      </c>
      <c r="AM30" s="142" t="str">
        <f>IF($H30=" ","",ROUND(ABS(_xll.RtGet(SourceAlias,$Y30,BID)-Z30),4))</f>
        <v/>
      </c>
      <c r="AN30" s="142" t="str">
        <f>IF($H30=" ","",ROUND(ABS(_xll.RtGet(SourceAlias,$Y30,ASK)-AA30),4))</f>
        <v/>
      </c>
    </row>
    <row r="31" spans="1:40" x14ac:dyDescent="0.2">
      <c r="A31" s="195"/>
      <c r="B31" s="49"/>
      <c r="C31" s="86" t="s">
        <v>46</v>
      </c>
      <c r="D31" s="86" t="s">
        <v>46</v>
      </c>
      <c r="E31" s="86" t="s">
        <v>46</v>
      </c>
      <c r="F31" s="86" t="s">
        <v>46</v>
      </c>
      <c r="G31" s="136" t="s">
        <v>46</v>
      </c>
      <c r="H31" s="136" t="s">
        <v>46</v>
      </c>
      <c r="I31" s="18" t="s">
        <v>46</v>
      </c>
      <c r="J31" s="115" t="str">
        <v>USD_CURVE_FUT1M_H7</v>
      </c>
      <c r="K31" s="116">
        <f>IF(J31="","",'1M Pricing'!$I31)</f>
        <v>98.87432952772275</v>
      </c>
      <c r="L31" s="116">
        <f t="shared" si="0"/>
        <v>98.87432952772275</v>
      </c>
      <c r="M31" s="117" t="str">
        <v>USD_CURVE_FUT3M_H7</v>
      </c>
      <c r="N31" s="116">
        <f>IF(M31="","",'3M Pricing'!$I31)</f>
        <v>98.739265701678548</v>
      </c>
      <c r="O31" s="116">
        <f t="shared" si="1"/>
        <v>98.739265701678548</v>
      </c>
      <c r="P31" s="117" t="str">
        <v>USD_CURVE_FUT6M_H7</v>
      </c>
      <c r="Q31" s="116">
        <f>IF(P31="","",'6M Pricing'!$I31)</f>
        <v>98.633186194249546</v>
      </c>
      <c r="R31" s="116">
        <f t="shared" si="2"/>
        <v>98.633186194249546</v>
      </c>
      <c r="S31" s="117" t="str">
        <v>USD_CURVE_FUT12M_H7</v>
      </c>
      <c r="T31" s="116">
        <f>IF(S31="","",'1Y Pricing'!$I31)</f>
        <v>98.505519123863053</v>
      </c>
      <c r="U31" s="116">
        <f t="shared" si="3"/>
        <v>98.505519123863053</v>
      </c>
      <c r="V31" s="115" t="str">
        <v/>
      </c>
      <c r="W31" s="116" t="str">
        <f>IF(V31="","",'ON Pricing'!#REF!*100)</f>
        <v/>
      </c>
      <c r="X31" s="116" t="str">
        <f t="shared" si="4"/>
        <v/>
      </c>
      <c r="Y31" s="115" t="str">
        <v/>
      </c>
      <c r="Z31" s="116" t="str">
        <f>IF(Y31="","",'STD Pricing'!$G31*100)</f>
        <v/>
      </c>
      <c r="AA31" s="116" t="str">
        <f t="shared" si="5"/>
        <v/>
      </c>
      <c r="AC31" s="142" t="str">
        <f>IF($C31=" ","",ROUND(ABS(_xll.RtGet(SourceAlias,$J31,BID)-K31),4))</f>
        <v/>
      </c>
      <c r="AD31" s="142" t="str">
        <f>IF($C31=" ","",ROUND(ABS(_xll.RtGet(SourceAlias,$J31,ASK)-L31),4))</f>
        <v/>
      </c>
      <c r="AE31" s="142" t="str">
        <f>IF($D31=" ","",ROUND(ABS(_xll.RtGet(SourceAlias,$M31,BID)-N31),4))</f>
        <v/>
      </c>
      <c r="AF31" s="142" t="str">
        <f>IF($D31=" ","",ROUND(ABS(_xll.RtGet(SourceAlias,$M31,ASK)-O31),4))</f>
        <v/>
      </c>
      <c r="AG31" s="142" t="str">
        <f>IF($E31=" ","",ROUND(ABS(_xll.RtGet(SourceAlias,$P31,BID)-Q31),4))</f>
        <v/>
      </c>
      <c r="AH31" s="142" t="str">
        <f>IF($E31=" ","",ROUND(ABS(_xll.RtGet(SourceAlias,$P31,ASK)-R31),4))</f>
        <v/>
      </c>
      <c r="AI31" s="142" t="str">
        <f>IF($F31=" ","",ROUND(ABS(_xll.RtGet(SourceAlias,$S31,BID)-T31),4))</f>
        <v/>
      </c>
      <c r="AJ31" s="142" t="str">
        <f>IF($F31=" ","",ROUND(ABS(_xll.RtGet(SourceAlias,$S31,ASK)-U31),4))</f>
        <v/>
      </c>
      <c r="AK31" s="142" t="str">
        <f>IF($G31=" ","",ROUND(ABS(_xll.RtGet(SourceAlias,$V31,BID)-W31),4))</f>
        <v/>
      </c>
      <c r="AL31" s="142" t="str">
        <f>IF($G31=" ","",ROUND(ABS(_xll.RtGet(SourceAlias,$V31,ASK)-X31),4))</f>
        <v/>
      </c>
      <c r="AM31" s="142" t="str">
        <f>IF($H31=" ","",ROUND(ABS(_xll.RtGet(SourceAlias,$Y31,BID)-Z31),4))</f>
        <v/>
      </c>
      <c r="AN31" s="142" t="str">
        <f>IF($H31=" ","",ROUND(ABS(_xll.RtGet(SourceAlias,$Y31,ASK)-AA31),4))</f>
        <v/>
      </c>
    </row>
    <row r="32" spans="1:40" x14ac:dyDescent="0.2">
      <c r="A32" s="196"/>
      <c r="B32" s="49"/>
      <c r="C32" s="86"/>
      <c r="D32" s="86"/>
      <c r="E32" s="86"/>
      <c r="F32" s="86"/>
      <c r="G32" s="136"/>
      <c r="H32" s="136" t="s">
        <v>46</v>
      </c>
      <c r="I32" s="18"/>
      <c r="J32" s="115" t="str">
        <v>USD_CURVE_FUT1M_M7</v>
      </c>
      <c r="K32" s="116"/>
      <c r="L32" s="116"/>
      <c r="M32" s="117" t="str">
        <v>USD_CURVE_FUT3M_M7</v>
      </c>
      <c r="N32" s="116"/>
      <c r="O32" s="116"/>
      <c r="P32" s="117" t="str">
        <v>USD_CURVE_FUT6M_M7</v>
      </c>
      <c r="Q32" s="116"/>
      <c r="R32" s="116"/>
      <c r="S32" s="117" t="str">
        <v>USD_CURVE_FUT12M_M7</v>
      </c>
      <c r="T32" s="116"/>
      <c r="U32" s="116"/>
      <c r="V32" s="115" t="str">
        <v/>
      </c>
      <c r="W32" s="116"/>
      <c r="X32" s="116"/>
      <c r="Y32" s="115" t="str">
        <v/>
      </c>
      <c r="Z32" s="116" t="str">
        <f>IF(Y32="","",'STD Pricing'!$G32*100)</f>
        <v/>
      </c>
      <c r="AA32" s="116" t="str">
        <f t="shared" si="5"/>
        <v/>
      </c>
      <c r="AC32" s="142"/>
      <c r="AD32" s="142"/>
      <c r="AE32" s="142"/>
      <c r="AF32" s="142"/>
      <c r="AG32" s="142"/>
      <c r="AH32" s="142"/>
      <c r="AI32" s="142"/>
      <c r="AJ32" s="142"/>
      <c r="AK32" s="142"/>
      <c r="AL32" s="142"/>
      <c r="AM32" s="142" t="str">
        <f>IF($H32=" ","",ROUND(ABS(_xll.RtGet(SourceAlias,$Y32,BID)-Z32),4))</f>
        <v/>
      </c>
      <c r="AN32" s="142" t="str">
        <f>IF($H32=" ","",ROUND(ABS(_xll.RtGet(SourceAlias,$Y32,ASK)-AA32),4))</f>
        <v/>
      </c>
    </row>
    <row r="33" spans="1:40" x14ac:dyDescent="0.2">
      <c r="A33" s="192" t="s">
        <v>107</v>
      </c>
      <c r="B33" s="48" t="s">
        <v>22</v>
      </c>
      <c r="C33" s="83" t="str">
        <f>IF(Contribute="abcd",IF($E$2&lt;&gt;-1,_xll.RtContribute(SourceAlias,J33,Fields,K33:L33,"SCOPE:SERVER"),_xll.RtContribute(SourceAlias,"DDS_INSERT_S",$E$2:$G$2,J33:L33,"SCOPE:SERVER FTC:ALL")),"stopped")</f>
        <v>stopped</v>
      </c>
      <c r="D33" s="83" t="str">
        <f>IF(Contribute="abcd",IF($E$2&lt;&gt;-1,_xll.RtContribute(SourceAlias,M33,Fields,N33:O33,"SCOPE:SERVER"),_xll.RtContribute(SourceAlias,"DDS_INSERT_S",$E$2:$G$2,M33:O33,"SCOPE:SERVER FTC:ALL")),"stopped")</f>
        <v>stopped</v>
      </c>
      <c r="E33" s="83" t="str">
        <f>IF(Contribute="abcd",IF($E$2&lt;&gt;-1,_xll.RtContribute(SourceAlias,P33,Fields,Q33:R33,"SCOPE:SERVER"),_xll.RtContribute(SourceAlias,"DDS_INSERT_S",$E$2:$G$2,P33:R33,"SCOPE:SERVER FTC:ALL")),"stopped")</f>
        <v>stopped</v>
      </c>
      <c r="F33" s="83" t="str">
        <f>IF(Contribute="abcd",IF($E$2&lt;&gt;-1,_xll.RtContribute(SourceAlias,S33,Fields,T33:U33,"SCOPE:SERVER"),_xll.RtContribute(SourceAlias,"DDS_INSERT_S",$E$2:$G$2,T33:U33,"SCOPE:SERVER FTC:ALL")),"stopped")</f>
        <v>stopped</v>
      </c>
      <c r="G33" s="135" t="s">
        <v>46</v>
      </c>
      <c r="H33" s="135" t="str">
        <f>IF(Contribute="abcd",IF($E$2&lt;&gt;-1,_xll.RtContribute(SourceAlias,Y33,Fields,Z33:AA33,"SCOPE:SERVER"),_xll.RtContribute(SourceAlias,"DDS_INSERT_S",$E$2:$G$2,Y33:AA33,"SCOPE:SERVER FTC:ALL")),"stopped")</f>
        <v>stopped</v>
      </c>
      <c r="I33" s="3" t="s">
        <v>46</v>
      </c>
      <c r="J33" s="112" t="str">
        <v>USD_CURVE_1M_1Y</v>
      </c>
      <c r="K33" s="113">
        <f>IF(J33="","",'1M Pricing'!$I33*100)</f>
        <v>0.4501513556831257</v>
      </c>
      <c r="L33" s="113">
        <f t="shared" ref="L33:L39" si="6">K33</f>
        <v>0.4501513556831257</v>
      </c>
      <c r="M33" s="114" t="str">
        <v>USD_CURVE_3M_1Y</v>
      </c>
      <c r="N33" s="113">
        <f>IF(M33="","",'3M Pricing'!$I33*100)</f>
        <v>0.53880170896367297</v>
      </c>
      <c r="O33" s="113">
        <f t="shared" ref="O33:O39" si="7">N33</f>
        <v>0.53880170896367297</v>
      </c>
      <c r="P33" s="114" t="str">
        <v>USD_CURVE_6M_1Y</v>
      </c>
      <c r="Q33" s="113">
        <f>IF(P33="","",'6M Pricing'!$I33*100)</f>
        <v>0.65595748149738731</v>
      </c>
      <c r="R33" s="113">
        <f t="shared" ref="R33:R39" si="8">Q33</f>
        <v>0.65595748149738731</v>
      </c>
      <c r="S33" s="114" t="str">
        <v>USD_CURVE_12M_1Y</v>
      </c>
      <c r="T33" s="113">
        <f>IF(S33="","",'1Y Pricing'!$I33*100)</f>
        <v>0.85679999999999978</v>
      </c>
      <c r="U33" s="113">
        <f t="shared" ref="U33:U39" si="9">T33</f>
        <v>0.85679999999999978</v>
      </c>
      <c r="V33" s="112" t="str">
        <v/>
      </c>
      <c r="W33" s="113" t="str">
        <f>IF(V33="","",'ON Pricing'!$G33*100)</f>
        <v/>
      </c>
      <c r="X33" s="113" t="str">
        <f t="shared" ref="X33:X39" si="10">W33</f>
        <v/>
      </c>
      <c r="Y33" s="112" t="str">
        <v>USD_CURVE_STD_1Y</v>
      </c>
      <c r="Z33" s="113">
        <f>IF(Y33="","",'STD Pricing'!$G33*100)</f>
        <v>0.54036212005767403</v>
      </c>
      <c r="AA33" s="113">
        <f t="shared" si="5"/>
        <v>0.54036212005767403</v>
      </c>
      <c r="AC33" s="141">
        <f>IF($C33=" ","",ROUND(ABS(_xll.RtGet(SourceAlias,$J33,BID)-K33),4))</f>
        <v>2.0000000000000001E-4</v>
      </c>
      <c r="AD33" s="141">
        <f>IF($C33=" ","",ROUND(ABS(_xll.RtGet(SourceAlias,$J33,ASK)-L33),4))</f>
        <v>2.0000000000000001E-4</v>
      </c>
      <c r="AE33" s="141">
        <f>IF($D33=" ","",ROUND(ABS(_xll.RtGet(SourceAlias,$M33,BID)-N33),4))</f>
        <v>0</v>
      </c>
      <c r="AF33" s="141">
        <f>IF($D33=" ","",ROUND(ABS(_xll.RtGet(SourceAlias,$M33,ASK)-O33),4))</f>
        <v>0</v>
      </c>
      <c r="AG33" s="141">
        <f>IF($E33=" ","",ROUND(ABS(_xll.RtGet(SourceAlias,$P33,BID)-Q33),4))</f>
        <v>0</v>
      </c>
      <c r="AH33" s="141">
        <f>IF($E33=" ","",ROUND(ABS(_xll.RtGet(SourceAlias,$P33,ASK)-R33),4))</f>
        <v>0</v>
      </c>
      <c r="AI33" s="141">
        <f>IF($F33=" ","",ROUND(ABS(_xll.RtGet(SourceAlias,$S33,BID)-T33),4))</f>
        <v>0</v>
      </c>
      <c r="AJ33" s="141">
        <f>IF($F33=" ","",ROUND(ABS(_xll.RtGet(SourceAlias,$S33,ASK)-U33),4))</f>
        <v>0</v>
      </c>
      <c r="AK33" s="141" t="str">
        <f>IF($G33=" ","",ROUND(ABS(_xll.RtGet(SourceAlias,$V33,BID)-W33),4))</f>
        <v/>
      </c>
      <c r="AL33" s="141" t="str">
        <f>IF($G33=" ","",ROUND(ABS(_xll.RtGet(SourceAlias,$V33,ASK)-X33),4))</f>
        <v/>
      </c>
      <c r="AM33" s="141">
        <f>IF($H33=" ","",ROUND(ABS(_xll.RtGet(SourceAlias,$Y33,BID)-Z33),4))</f>
        <v>7.0999999999999994E-2</v>
      </c>
      <c r="AN33" s="141">
        <f>IF($H33=" ","",ROUND(ABS(_xll.RtGet(SourceAlias,$Y33,ASK)-AA33),4))</f>
        <v>7.0999999999999994E-2</v>
      </c>
    </row>
    <row r="34" spans="1:40" x14ac:dyDescent="0.2">
      <c r="A34" s="192"/>
      <c r="B34" s="49" t="s">
        <v>111</v>
      </c>
      <c r="C34" s="86" t="s">
        <v>46</v>
      </c>
      <c r="D34" s="86" t="s">
        <v>46</v>
      </c>
      <c r="E34" s="86" t="s">
        <v>46</v>
      </c>
      <c r="F34" s="86" t="s">
        <v>46</v>
      </c>
      <c r="G34" s="136" t="s">
        <v>46</v>
      </c>
      <c r="H34" s="136" t="s">
        <v>46</v>
      </c>
      <c r="I34" s="3" t="s">
        <v>46</v>
      </c>
      <c r="J34" s="115" t="str">
        <v/>
      </c>
      <c r="K34" s="116" t="str">
        <f>IF(J34="","",'1M Pricing'!$I34*100)</f>
        <v/>
      </c>
      <c r="L34" s="116" t="str">
        <f t="shared" si="6"/>
        <v/>
      </c>
      <c r="M34" s="117" t="str">
        <v/>
      </c>
      <c r="N34" s="116" t="str">
        <f>IF(M34="","",'3M Pricing'!$I34*100)</f>
        <v/>
      </c>
      <c r="O34" s="116" t="str">
        <f t="shared" si="7"/>
        <v/>
      </c>
      <c r="P34" s="117" t="str">
        <v/>
      </c>
      <c r="Q34" s="116" t="str">
        <f>IF(P34="","",'6M Pricing'!$I34*100)</f>
        <v/>
      </c>
      <c r="R34" s="116" t="str">
        <f t="shared" si="8"/>
        <v/>
      </c>
      <c r="S34" s="117" t="str">
        <v/>
      </c>
      <c r="T34" s="116" t="str">
        <f>IF(S34="","",'1Y Pricing'!$I34*100)</f>
        <v/>
      </c>
      <c r="U34" s="116" t="str">
        <f t="shared" si="9"/>
        <v/>
      </c>
      <c r="V34" s="115" t="str">
        <v>USD_CURVE_OIS_15M</v>
      </c>
      <c r="W34" s="116">
        <f>IF(V34="","",'ON Pricing'!$G34*100)</f>
        <v>0.4529999999796212</v>
      </c>
      <c r="X34" s="116">
        <f t="shared" si="10"/>
        <v>0.4529999999796212</v>
      </c>
      <c r="Y34" s="115" t="str">
        <v/>
      </c>
      <c r="Z34" s="116" t="str">
        <f>IF(Y34="","",'STD Pricing'!$G34*100)</f>
        <v/>
      </c>
      <c r="AA34" s="116" t="str">
        <f t="shared" si="5"/>
        <v/>
      </c>
      <c r="AC34" s="142" t="str">
        <f>IF($C34=" ","",ROUND(ABS(_xll.RtGet(SourceAlias,$J34,BID)-K34),4))</f>
        <v/>
      </c>
      <c r="AD34" s="142" t="str">
        <f>IF($C34=" ","",ROUND(ABS(_xll.RtGet(SourceAlias,$J34,ASK)-L34),4))</f>
        <v/>
      </c>
      <c r="AE34" s="142" t="str">
        <f>IF($D34=" ","",ROUND(ABS(_xll.RtGet(SourceAlias,$M34,BID)-N34),4))</f>
        <v/>
      </c>
      <c r="AF34" s="142" t="str">
        <f>IF($D34=" ","",ROUND(ABS(_xll.RtGet(SourceAlias,$M34,ASK)-O34),4))</f>
        <v/>
      </c>
      <c r="AG34" s="142" t="str">
        <f>IF($E34=" ","",ROUND(ABS(_xll.RtGet(SourceAlias,$P34,BID)-Q34),4))</f>
        <v/>
      </c>
      <c r="AH34" s="142" t="str">
        <f>IF($E34=" ","",ROUND(ABS(_xll.RtGet(SourceAlias,$P34,ASK)-R34),4))</f>
        <v/>
      </c>
      <c r="AI34" s="142" t="str">
        <f>IF($F34=" ","",ROUND(ABS(_xll.RtGet(SourceAlias,$S34,BID)-T34),4))</f>
        <v/>
      </c>
      <c r="AJ34" s="142" t="str">
        <f>IF($F34=" ","",ROUND(ABS(_xll.RtGet(SourceAlias,$S34,ASK)-U34),4))</f>
        <v/>
      </c>
      <c r="AK34" s="142" t="str">
        <f>IF($G34=" ","",ROUND(ABS(_xll.RtGet(SourceAlias,$V34,BID)-W34),4))</f>
        <v/>
      </c>
      <c r="AL34" s="142" t="str">
        <f>IF($G34=" ","",ROUND(ABS(_xll.RtGet(SourceAlias,$V34,ASK)-X34),4))</f>
        <v/>
      </c>
      <c r="AM34" s="142" t="str">
        <f>IF($H34=" ","",ROUND(ABS(_xll.RtGet(SourceAlias,$Y34,BID)-Z34),4))</f>
        <v/>
      </c>
      <c r="AN34" s="142" t="str">
        <f>IF($H34=" ","",ROUND(ABS(_xll.RtGet(SourceAlias,$Y34,ASK)-AA34),4))</f>
        <v/>
      </c>
    </row>
    <row r="35" spans="1:40" x14ac:dyDescent="0.2">
      <c r="A35" s="192"/>
      <c r="B35" s="49" t="s">
        <v>112</v>
      </c>
      <c r="C35" s="86" t="s">
        <v>46</v>
      </c>
      <c r="D35" s="86" t="s">
        <v>46</v>
      </c>
      <c r="E35" s="86" t="s">
        <v>46</v>
      </c>
      <c r="F35" s="86" t="s">
        <v>46</v>
      </c>
      <c r="G35" s="136" t="s">
        <v>46</v>
      </c>
      <c r="H35" s="136" t="s">
        <v>46</v>
      </c>
      <c r="I35" s="3" t="s">
        <v>46</v>
      </c>
      <c r="J35" s="115" t="str">
        <v/>
      </c>
      <c r="K35" s="116" t="str">
        <f>IF(J35="","",'1M Pricing'!$I35*100)</f>
        <v/>
      </c>
      <c r="L35" s="116" t="str">
        <f t="shared" si="6"/>
        <v/>
      </c>
      <c r="M35" s="117" t="str">
        <v/>
      </c>
      <c r="N35" s="116" t="str">
        <f>IF(M35="","",'3M Pricing'!$I35*100)</f>
        <v/>
      </c>
      <c r="O35" s="116" t="str">
        <f t="shared" si="7"/>
        <v/>
      </c>
      <c r="P35" s="117" t="str">
        <v/>
      </c>
      <c r="Q35" s="116" t="str">
        <f>IF(P35="","",'6M Pricing'!$I35*100)</f>
        <v/>
      </c>
      <c r="R35" s="116" t="str">
        <f t="shared" si="8"/>
        <v/>
      </c>
      <c r="S35" s="117" t="str">
        <v/>
      </c>
      <c r="T35" s="116" t="str">
        <f>IF(S35="","",'1Y Pricing'!$I35*100)</f>
        <v/>
      </c>
      <c r="U35" s="116" t="str">
        <f t="shared" si="9"/>
        <v/>
      </c>
      <c r="V35" s="115" t="str">
        <v>USD_CURVE_OIS_18M</v>
      </c>
      <c r="W35" s="116">
        <f>IF(V35="","",'ON Pricing'!$G35*100)</f>
        <v>0.52099999999999425</v>
      </c>
      <c r="X35" s="116">
        <f t="shared" si="10"/>
        <v>0.52099999999999425</v>
      </c>
      <c r="Y35" s="115" t="str">
        <v/>
      </c>
      <c r="Z35" s="116" t="str">
        <f>IF(Y35="","",'STD Pricing'!$G35*100)</f>
        <v/>
      </c>
      <c r="AA35" s="116" t="str">
        <f t="shared" si="5"/>
        <v/>
      </c>
      <c r="AC35" s="142" t="str">
        <f>IF($C35=" ","",ROUND(ABS(_xll.RtGet(SourceAlias,$J35,BID)-K35),4))</f>
        <v/>
      </c>
      <c r="AD35" s="142" t="str">
        <f>IF($C35=" ","",ROUND(ABS(_xll.RtGet(SourceAlias,$J35,ASK)-L35),4))</f>
        <v/>
      </c>
      <c r="AE35" s="142" t="str">
        <f>IF($D35=" ","",ROUND(ABS(_xll.RtGet(SourceAlias,$M35,BID)-N35),4))</f>
        <v/>
      </c>
      <c r="AF35" s="142" t="str">
        <f>IF($D35=" ","",ROUND(ABS(_xll.RtGet(SourceAlias,$M35,ASK)-O35),4))</f>
        <v/>
      </c>
      <c r="AG35" s="142" t="str">
        <f>IF($E35=" ","",ROUND(ABS(_xll.RtGet(SourceAlias,$P35,BID)-Q35),4))</f>
        <v/>
      </c>
      <c r="AH35" s="142" t="str">
        <f>IF($E35=" ","",ROUND(ABS(_xll.RtGet(SourceAlias,$P35,ASK)-R35),4))</f>
        <v/>
      </c>
      <c r="AI35" s="142" t="str">
        <f>IF($F35=" ","",ROUND(ABS(_xll.RtGet(SourceAlias,$S35,BID)-T35),4))</f>
        <v/>
      </c>
      <c r="AJ35" s="142" t="str">
        <f>IF($F35=" ","",ROUND(ABS(_xll.RtGet(SourceAlias,$S35,ASK)-U35),4))</f>
        <v/>
      </c>
      <c r="AK35" s="142" t="str">
        <f>IF($G35=" ","",ROUND(ABS(_xll.RtGet(SourceAlias,$V35,BID)-W35),4))</f>
        <v/>
      </c>
      <c r="AL35" s="142" t="str">
        <f>IF($G35=" ","",ROUND(ABS(_xll.RtGet(SourceAlias,$V35,ASK)-X35),4))</f>
        <v/>
      </c>
      <c r="AM35" s="142" t="str">
        <f>IF($H35=" ","",ROUND(ABS(_xll.RtGet(SourceAlias,$Y35,BID)-Z35),4))</f>
        <v/>
      </c>
      <c r="AN35" s="142" t="str">
        <f>IF($H35=" ","",ROUND(ABS(_xll.RtGet(SourceAlias,$Y35,ASK)-AA35),4))</f>
        <v/>
      </c>
    </row>
    <row r="36" spans="1:40" x14ac:dyDescent="0.2">
      <c r="A36" s="192"/>
      <c r="B36" s="49" t="s">
        <v>113</v>
      </c>
      <c r="C36" s="86" t="s">
        <v>46</v>
      </c>
      <c r="D36" s="86" t="s">
        <v>46</v>
      </c>
      <c r="E36" s="86" t="s">
        <v>46</v>
      </c>
      <c r="F36" s="86" t="s">
        <v>46</v>
      </c>
      <c r="G36" s="136" t="s">
        <v>46</v>
      </c>
      <c r="H36" s="136" t="s">
        <v>46</v>
      </c>
      <c r="I36" s="3" t="s">
        <v>46</v>
      </c>
      <c r="J36" s="115" t="str">
        <v/>
      </c>
      <c r="K36" s="116" t="str">
        <f>IF(J36="","",'1M Pricing'!$I36*100)</f>
        <v/>
      </c>
      <c r="L36" s="116" t="str">
        <f t="shared" si="6"/>
        <v/>
      </c>
      <c r="M36" s="117" t="str">
        <v/>
      </c>
      <c r="N36" s="116" t="str">
        <f>IF(M36="","",'3M Pricing'!$I36*100)</f>
        <v/>
      </c>
      <c r="O36" s="116" t="str">
        <f t="shared" si="7"/>
        <v/>
      </c>
      <c r="P36" s="117" t="str">
        <v/>
      </c>
      <c r="Q36" s="116" t="str">
        <f>IF(P36="","",'6M Pricing'!$I36*100)</f>
        <v/>
      </c>
      <c r="R36" s="116" t="str">
        <f t="shared" si="8"/>
        <v/>
      </c>
      <c r="S36" s="117" t="str">
        <v/>
      </c>
      <c r="T36" s="116" t="str">
        <f>IF(S36="","",'1Y Pricing'!$I36*100)</f>
        <v/>
      </c>
      <c r="U36" s="116" t="str">
        <f t="shared" si="9"/>
        <v/>
      </c>
      <c r="V36" s="115" t="str">
        <v>USD_CURVE_OIS_21M</v>
      </c>
      <c r="W36" s="116">
        <f>IF(V36="","",'ON Pricing'!$G36*100)</f>
        <v>0.5940000000000023</v>
      </c>
      <c r="X36" s="116">
        <f t="shared" si="10"/>
        <v>0.5940000000000023</v>
      </c>
      <c r="Y36" s="115" t="str">
        <v/>
      </c>
      <c r="Z36" s="116" t="str">
        <f>IF(Y36="","",'STD Pricing'!$G36*100)</f>
        <v/>
      </c>
      <c r="AA36" s="116" t="str">
        <f t="shared" si="5"/>
        <v/>
      </c>
      <c r="AC36" s="142" t="str">
        <f>IF($C36=" ","",ROUND(ABS(_xll.RtGet(SourceAlias,$J36,BID)-K36),4))</f>
        <v/>
      </c>
      <c r="AD36" s="142" t="str">
        <f>IF($C36=" ","",ROUND(ABS(_xll.RtGet(SourceAlias,$J36,ASK)-L36),4))</f>
        <v/>
      </c>
      <c r="AE36" s="142" t="str">
        <f>IF($D36=" ","",ROUND(ABS(_xll.RtGet(SourceAlias,$M36,BID)-N36),4))</f>
        <v/>
      </c>
      <c r="AF36" s="142" t="str">
        <f>IF($D36=" ","",ROUND(ABS(_xll.RtGet(SourceAlias,$M36,ASK)-O36),4))</f>
        <v/>
      </c>
      <c r="AG36" s="142" t="str">
        <f>IF($E36=" ","",ROUND(ABS(_xll.RtGet(SourceAlias,$P36,BID)-Q36),4))</f>
        <v/>
      </c>
      <c r="AH36" s="142" t="str">
        <f>IF($E36=" ","",ROUND(ABS(_xll.RtGet(SourceAlias,$P36,ASK)-R36),4))</f>
        <v/>
      </c>
      <c r="AI36" s="142" t="str">
        <f>IF($F36=" ","",ROUND(ABS(_xll.RtGet(SourceAlias,$S36,BID)-T36),4))</f>
        <v/>
      </c>
      <c r="AJ36" s="142" t="str">
        <f>IF($F36=" ","",ROUND(ABS(_xll.RtGet(SourceAlias,$S36,ASK)-U36),4))</f>
        <v/>
      </c>
      <c r="AK36" s="142" t="str">
        <f>IF($G36=" ","",ROUND(ABS(_xll.RtGet(SourceAlias,$V36,BID)-W36),4))</f>
        <v/>
      </c>
      <c r="AL36" s="142" t="str">
        <f>IF($G36=" ","",ROUND(ABS(_xll.RtGet(SourceAlias,$V36,ASK)-X36),4))</f>
        <v/>
      </c>
      <c r="AM36" s="142" t="str">
        <f>IF($H36=" ","",ROUND(ABS(_xll.RtGet(SourceAlias,$Y36,BID)-Z36),4))</f>
        <v/>
      </c>
      <c r="AN36" s="142" t="str">
        <f>IF($H36=" ","",ROUND(ABS(_xll.RtGet(SourceAlias,$Y36,ASK)-AA36),4))</f>
        <v/>
      </c>
    </row>
    <row r="37" spans="1:40" x14ac:dyDescent="0.2">
      <c r="A37" s="192"/>
      <c r="B37" s="49" t="s">
        <v>23</v>
      </c>
      <c r="C37" s="86" t="str">
        <f>IF(Contribute="abcd",IF($E$2&lt;&gt;-1,_xll.RtContribute(SourceAlias,J37,Fields,K37:L37,"SCOPE:SERVER"),_xll.RtContribute(SourceAlias,"DDS_INSERT_S",$E$2:$G$2,J37:L37,"SCOPE:SERVER FTC:ALL")),"stopped")</f>
        <v>stopped</v>
      </c>
      <c r="D37" s="86" t="str">
        <f>IF(Contribute="abcd",IF($E$2&lt;&gt;-1,_xll.RtContribute(SourceAlias,M37,Fields,N37:O37,"SCOPE:SERVER"),_xll.RtContribute(SourceAlias,"DDS_INSERT_S",$E$2:$G$2,M37:O37,"SCOPE:SERVER FTC:ALL")),"stopped")</f>
        <v>stopped</v>
      </c>
      <c r="E37" s="86" t="str">
        <f>IF(Contribute="abcd",IF($E$2&lt;&gt;-1,_xll.RtContribute(SourceAlias,P37,Fields,Q37:R37,"SCOPE:SERVER"),_xll.RtContribute(SourceAlias,"DDS_INSERT_S",$E$2:$G$2,P37:R37,"SCOPE:SERVER FTC:ALL")),"stopped")</f>
        <v>stopped</v>
      </c>
      <c r="F37" s="86" t="str">
        <f>IF(Contribute="abcd",IF($E$2&lt;&gt;-1,_xll.RtContribute(SourceAlias,S37,Fields,T37:U37,"SCOPE:SERVER"),_xll.RtContribute(SourceAlias,"DDS_INSERT_S",$E$2:$G$2,T37:U37,"SCOPE:SERVER FTC:ALL")),"stopped")</f>
        <v>stopped</v>
      </c>
      <c r="G37" s="136" t="str">
        <f>IF(Contribute="abcd",IF($E$2&lt;&gt;-1,_xll.RtContribute(SourceAlias,V37,Fields,W37:X37,"SCOPE:SERVER"),_xll.RtContribute(SourceAlias,"DDS_INSERT_S",$E$2:$G$2,V37:X37,"SCOPE:SERVER FTC:ALL")),"stopped")</f>
        <v>stopped</v>
      </c>
      <c r="H37" s="136" t="str">
        <f>IF(Contribute="abcd",IF($E$2&lt;&gt;-1,_xll.RtContribute(SourceAlias,Y37,Fields,Z37:AA37,"SCOPE:SERVER"),_xll.RtContribute(SourceAlias,"DDS_INSERT_S",$E$2:$G$2,Y37:AA37,"SCOPE:SERVER FTC:ALL")),"stopped")</f>
        <v>stopped</v>
      </c>
      <c r="I37" s="3" t="s">
        <v>46</v>
      </c>
      <c r="J37" s="115" t="str">
        <v>USD_CURVE_1M_2Y</v>
      </c>
      <c r="K37" s="116">
        <f>IF(J37="","",'1M Pricing'!$I37*100)</f>
        <v>0.74672697851493575</v>
      </c>
      <c r="L37" s="116">
        <f t="shared" si="6"/>
        <v>0.74672697851493575</v>
      </c>
      <c r="M37" s="117" t="str">
        <v>USD_CURVE_3M_2Y</v>
      </c>
      <c r="N37" s="116">
        <f>IF(M37="","",'3M Pricing'!$I37*100)</f>
        <v>0.85038491356892054</v>
      </c>
      <c r="O37" s="116">
        <f t="shared" si="7"/>
        <v>0.85038491356892054</v>
      </c>
      <c r="P37" s="117" t="str">
        <v>USD_CURVE_6M_2Y</v>
      </c>
      <c r="Q37" s="116">
        <f>IF(P37="","",'6M Pricing'!$I37*100)</f>
        <v>0.95168246595359018</v>
      </c>
      <c r="R37" s="116">
        <f t="shared" si="8"/>
        <v>0.95168246595359018</v>
      </c>
      <c r="S37" s="117" t="str">
        <v>USD_CURVE_12M_2Y</v>
      </c>
      <c r="T37" s="116">
        <f>IF(S37="","",'1Y Pricing'!$I37*100)</f>
        <v>1.1287024461328237</v>
      </c>
      <c r="U37" s="116">
        <f t="shared" si="9"/>
        <v>1.1287024461328237</v>
      </c>
      <c r="V37" s="115" t="str">
        <v>USD_CURVE_OIS_2Y</v>
      </c>
      <c r="W37" s="116">
        <f>IF(V37="","",'ON Pricing'!$G37*100)</f>
        <v>0.66400000000000714</v>
      </c>
      <c r="X37" s="116">
        <f t="shared" si="10"/>
        <v>0.66400000000000714</v>
      </c>
      <c r="Y37" s="115" t="str">
        <v>USD_CURVE_STD_2Y</v>
      </c>
      <c r="Z37" s="116">
        <f>IF(Y37="","",'STD Pricing'!$G37*100)</f>
        <v>0.84599999999997266</v>
      </c>
      <c r="AA37" s="116">
        <f t="shared" si="5"/>
        <v>0.84599999999997266</v>
      </c>
      <c r="AC37" s="142">
        <f>IF($C37=" ","",ROUND(ABS(_xll.RtGet(SourceAlias,$J37,BID)-K37),4))</f>
        <v>2.0999999999999999E-3</v>
      </c>
      <c r="AD37" s="142">
        <f>IF($C37=" ","",ROUND(ABS(_xll.RtGet(SourceAlias,$J37,ASK)-L37),4))</f>
        <v>2.0999999999999999E-3</v>
      </c>
      <c r="AE37" s="142">
        <f>IF($D37=" ","",ROUND(ABS(_xll.RtGet(SourceAlias,$M37,BID)-N37),4))</f>
        <v>0</v>
      </c>
      <c r="AF37" s="142">
        <f>IF($D37=" ","",ROUND(ABS(_xll.RtGet(SourceAlias,$M37,ASK)-O37),4))</f>
        <v>0</v>
      </c>
      <c r="AG37" s="142">
        <f>IF($E37=" ","",ROUND(ABS(_xll.RtGet(SourceAlias,$P37,BID)-Q37),4))</f>
        <v>0</v>
      </c>
      <c r="AH37" s="142">
        <f>IF($E37=" ","",ROUND(ABS(_xll.RtGet(SourceAlias,$P37,ASK)-R37),4))</f>
        <v>0</v>
      </c>
      <c r="AI37" s="142">
        <f>IF($F37=" ","",ROUND(ABS(_xll.RtGet(SourceAlias,$S37,BID)-T37),4))</f>
        <v>0</v>
      </c>
      <c r="AJ37" s="142">
        <f>IF($F37=" ","",ROUND(ABS(_xll.RtGet(SourceAlias,$S37,ASK)-U37),4))</f>
        <v>0</v>
      </c>
      <c r="AK37" s="142">
        <f>IF($G37=" ","",ROUND(ABS(_xll.RtGet(SourceAlias,$V37,BID)-W37),4))</f>
        <v>1E-3</v>
      </c>
      <c r="AL37" s="142">
        <f>IF($G37=" ","",ROUND(ABS(_xll.RtGet(SourceAlias,$V37,ASK)-X37),4))</f>
        <v>1E-3</v>
      </c>
      <c r="AM37" s="142">
        <f>IF($H37=" ","",ROUND(ABS(_xll.RtGet(SourceAlias,$Y37,BID)-Z37),4))</f>
        <v>3.7699999999999997E-2</v>
      </c>
      <c r="AN37" s="142">
        <f>IF($H37=" ","",ROUND(ABS(_xll.RtGet(SourceAlias,$Y37,ASK)-AA37),4))</f>
        <v>3.7699999999999997E-2</v>
      </c>
    </row>
    <row r="38" spans="1:40" x14ac:dyDescent="0.2">
      <c r="A38" s="192"/>
      <c r="B38" s="49" t="s">
        <v>24</v>
      </c>
      <c r="C38" s="86" t="str">
        <f>IF(Contribute="abcd",IF($E$2&lt;&gt;-1,_xll.RtContribute(SourceAlias,J38,Fields,K38:L38,"SCOPE:SERVER"),_xll.RtContribute(SourceAlias,"DDS_INSERT_S",$E$2:$G$2,J38:L38,"SCOPE:SERVER FTC:ALL")),"stopped")</f>
        <v>stopped</v>
      </c>
      <c r="D38" s="86" t="str">
        <f>IF(Contribute="abcd",IF($E$2&lt;&gt;-1,_xll.RtContribute(SourceAlias,M38,Fields,N38:O38,"SCOPE:SERVER"),_xll.RtContribute(SourceAlias,"DDS_INSERT_S",$E$2:$G$2,M38:O38,"SCOPE:SERVER FTC:ALL")),"stopped")</f>
        <v>stopped</v>
      </c>
      <c r="E38" s="86" t="str">
        <f>IF(Contribute="abcd",IF($E$2&lt;&gt;-1,_xll.RtContribute(SourceAlias,P38,Fields,Q38:R38,"SCOPE:SERVER"),_xll.RtContribute(SourceAlias,"DDS_INSERT_S",$E$2:$G$2,P38:R38,"SCOPE:SERVER FTC:ALL")),"stopped")</f>
        <v>stopped</v>
      </c>
      <c r="F38" s="86" t="str">
        <f>IF(Contribute="abcd",IF($E$2&lt;&gt;-1,_xll.RtContribute(SourceAlias,S38,Fields,T38:U38,"SCOPE:SERVER"),_xll.RtContribute(SourceAlias,"DDS_INSERT_S",$E$2:$G$2,T38:U38,"SCOPE:SERVER FTC:ALL")),"stopped")</f>
        <v>stopped</v>
      </c>
      <c r="G38" s="136" t="str">
        <f>IF(Contribute="abcd",IF($E$2&lt;&gt;-1,_xll.RtContribute(SourceAlias,V38,Fields,W38:X38,"SCOPE:SERVER"),_xll.RtContribute(SourceAlias,"DDS_INSERT_S",$E$2:$G$2,V38:X38,"SCOPE:SERVER FTC:ALL")),"stopped")</f>
        <v>stopped</v>
      </c>
      <c r="H38" s="136" t="str">
        <f>IF(Contribute="abcd",IF($E$2&lt;&gt;-1,_xll.RtContribute(SourceAlias,Y38,Fields,Z38:AA38,"SCOPE:SERVER"),_xll.RtContribute(SourceAlias,"DDS_INSERT_S",$E$2:$G$2,Y38:AA38,"SCOPE:SERVER FTC:ALL")),"stopped")</f>
        <v>stopped</v>
      </c>
      <c r="I38" s="3" t="s">
        <v>46</v>
      </c>
      <c r="J38" s="115" t="str">
        <v>USD_CURVE_1M_3Y</v>
      </c>
      <c r="K38" s="120">
        <f>IF(J38="","",'1M Pricing'!$I38*100)</f>
        <v>1.0135354028291894</v>
      </c>
      <c r="L38" s="120">
        <f t="shared" si="6"/>
        <v>1.0135354028291894</v>
      </c>
      <c r="M38" s="115" t="str">
        <v>USD_CURVE_3M_3Y</v>
      </c>
      <c r="N38" s="120">
        <f>IF(M38="","",'3M Pricing'!$I38*100)</f>
        <v>1.1239999999917467</v>
      </c>
      <c r="O38" s="116">
        <f t="shared" si="7"/>
        <v>1.1239999999917467</v>
      </c>
      <c r="P38" s="115" t="str">
        <v>USD_CURVE_6M_3Y</v>
      </c>
      <c r="Q38" s="116">
        <f>IF(P38="","",'6M Pricing'!$I38*100)</f>
        <v>1.2143502385147842</v>
      </c>
      <c r="R38" s="116">
        <f t="shared" si="8"/>
        <v>1.2143502385147842</v>
      </c>
      <c r="S38" s="115" t="str">
        <v>USD_CURVE_12M_3Y</v>
      </c>
      <c r="T38" s="116">
        <f>IF(S38="","",'1Y Pricing'!$I38*100)</f>
        <v>1.3812472068925303</v>
      </c>
      <c r="U38" s="116">
        <f t="shared" si="9"/>
        <v>1.3812472068925303</v>
      </c>
      <c r="V38" s="115" t="str">
        <v>USD_CURVE_OIS_3Y</v>
      </c>
      <c r="W38" s="120">
        <f>IF(V38="","",'ON Pricing'!$G38*100)</f>
        <v>0.9219999999999855</v>
      </c>
      <c r="X38" s="120">
        <f t="shared" si="10"/>
        <v>0.9219999999999855</v>
      </c>
      <c r="Y38" s="115" t="str">
        <v>USD_CURVE_STD_3Y</v>
      </c>
      <c r="Z38" s="120">
        <f>IF(Y38="","",'STD Pricing'!$G38*100)</f>
        <v>1.1239999999999994</v>
      </c>
      <c r="AA38" s="120">
        <f t="shared" si="5"/>
        <v>1.1239999999999994</v>
      </c>
      <c r="AC38" s="143">
        <f>IF($C38=" ","",ROUND(ABS(_xll.RtGet(SourceAlias,$J38,BID)-K38),4))</f>
        <v>1.1000000000000001E-3</v>
      </c>
      <c r="AD38" s="143">
        <f>IF($C38=" ","",ROUND(ABS(_xll.RtGet(SourceAlias,$J38,ASK)-L38),4))</f>
        <v>1.1000000000000001E-3</v>
      </c>
      <c r="AE38" s="143">
        <f>IF($D38=" ","",ROUND(ABS(_xll.RtGet(SourceAlias,$M38,BID)-N38),4))</f>
        <v>1E-3</v>
      </c>
      <c r="AF38" s="143">
        <f>IF($D38=" ","",ROUND(ABS(_xll.RtGet(SourceAlias,$M38,ASK)-O38),4))</f>
        <v>1E-3</v>
      </c>
      <c r="AG38" s="143">
        <f>IF($E38=" ","",ROUND(ABS(_xll.RtGet(SourceAlias,$P38,BID)-Q38),4))</f>
        <v>1E-3</v>
      </c>
      <c r="AH38" s="143">
        <f>IF($E38=" ","",ROUND(ABS(_xll.RtGet(SourceAlias,$P38,ASK)-R38),4))</f>
        <v>1E-3</v>
      </c>
      <c r="AI38" s="143">
        <f>IF($F38=" ","",ROUND(ABS(_xll.RtGet(SourceAlias,$S38,BID)-T38),4))</f>
        <v>1E-3</v>
      </c>
      <c r="AJ38" s="143">
        <f>IF($F38=" ","",ROUND(ABS(_xll.RtGet(SourceAlias,$S38,ASK)-U38),4))</f>
        <v>1E-3</v>
      </c>
      <c r="AK38" s="143">
        <f>IF($G38=" ","",ROUND(ABS(_xll.RtGet(SourceAlias,$V38,BID)-W38),4))</f>
        <v>1E-3</v>
      </c>
      <c r="AL38" s="143">
        <f>IF($G38=" ","",ROUND(ABS(_xll.RtGet(SourceAlias,$V38,ASK)-X38),4))</f>
        <v>1E-3</v>
      </c>
      <c r="AM38" s="143">
        <f>IF($H38=" ","",ROUND(ABS(_xll.RtGet(SourceAlias,$Y38,BID)-Z38),4))</f>
        <v>1E-3</v>
      </c>
      <c r="AN38" s="143">
        <f>IF($H38=" ","",ROUND(ABS(_xll.RtGet(SourceAlias,$Y38,ASK)-AA38),4))</f>
        <v>1E-3</v>
      </c>
    </row>
    <row r="39" spans="1:40" x14ac:dyDescent="0.2">
      <c r="A39" s="192"/>
      <c r="B39" s="49" t="s">
        <v>25</v>
      </c>
      <c r="C39" s="132" t="str">
        <f>IF(Contribute="abcd",IF($E$2&lt;&gt;-1,_xll.RtContribute(SourceAlias,J39,Fields,K39:L39,"SCOPE:SERVER"),_xll.RtContribute(SourceAlias,"DDS_INSERT_S",$E$2:$G$2,J39:L39,"SCOPE:SERVER FTC:ALL")),"stopped")</f>
        <v>stopped</v>
      </c>
      <c r="D39" s="139" t="str">
        <f>IF(Contribute="abcd",IF($E$2&lt;&gt;-1,_xll.RtContribute(SourceAlias,M39,Fields,N39:O39,"SCOPE:SERVER"),_xll.RtContribute(SourceAlias,"DDS_INSERT_S",$E$2:$G$2,M39:O39,"SCOPE:SERVER FTC:ALL")),"stopped")</f>
        <v>stopped</v>
      </c>
      <c r="E39" s="139" t="str">
        <f>IF(Contribute="abcd",IF($E$2&lt;&gt;-1,_xll.RtContribute(SourceAlias,P39,Fields,Q39:R39,"SCOPE:SERVER"),_xll.RtContribute(SourceAlias,"DDS_INSERT_S",$E$2:$G$2,P39:R39,"SCOPE:SERVER FTC:ALL")),"stopped")</f>
        <v>stopped</v>
      </c>
      <c r="F39" s="132" t="str">
        <f>IF(Contribute="abcd",IF($E$2&lt;&gt;-1,_xll.RtContribute(SourceAlias,S39,Fields,T39:U39,"SCOPE:SERVER"),_xll.RtContribute(SourceAlias,"DDS_INSERT_S",$E$2:$G$2,T39:U39,"SCOPE:SERVER FTC:ALL")),"stopped")</f>
        <v>stopped</v>
      </c>
      <c r="G39" s="132" t="str">
        <f>IF(Contribute="abcd",IF($E$2&lt;&gt;-1,_xll.RtContribute(SourceAlias,V39,Fields,W39:X39,"SCOPE:SERVER"),_xll.RtContribute(SourceAlias,"DDS_INSERT_S",$E$2:$G$2,V39:X39,"SCOPE:SERVER FTC:ALL")),"stopped")</f>
        <v>stopped</v>
      </c>
      <c r="H39" s="132" t="str">
        <f>IF(Contribute="abcd",IF($E$2&lt;&gt;-1,_xll.RtContribute(SourceAlias,Y39,Fields,Z39:AA39,"SCOPE:SERVER"),_xll.RtContribute(SourceAlias,"DDS_INSERT_S",$E$2:$G$2,Y39:AA39,"SCOPE:SERVER FTC:ALL")),"stopped")</f>
        <v>stopped</v>
      </c>
      <c r="I39" s="3" t="s">
        <v>46</v>
      </c>
      <c r="J39" s="115" t="str">
        <v>USD_CURVE_1M_4Y</v>
      </c>
      <c r="K39" s="120">
        <f>IF(J39="","",'1M Pricing'!$I39*100)</f>
        <v>1.2473753686383038</v>
      </c>
      <c r="L39" s="120">
        <f t="shared" si="6"/>
        <v>1.2473753686383038</v>
      </c>
      <c r="M39" s="115" t="str">
        <v>USD_CURVE_3M_4Y</v>
      </c>
      <c r="N39" s="120">
        <f>IF(M39="","",'3M Pricing'!$I39*100)</f>
        <v>1.3639999999936561</v>
      </c>
      <c r="O39" s="116">
        <f t="shared" si="7"/>
        <v>1.3639999999936561</v>
      </c>
      <c r="P39" s="115" t="str">
        <v>USD_CURVE_6M_4Y</v>
      </c>
      <c r="Q39" s="116">
        <f>IF(P39="","",'6M Pricing'!$I39*100)</f>
        <v>1.448397260375917</v>
      </c>
      <c r="R39" s="116">
        <f t="shared" si="8"/>
        <v>1.448397260375917</v>
      </c>
      <c r="S39" s="115" t="str">
        <v>USD_CURVE_12M_4Y</v>
      </c>
      <c r="T39" s="116">
        <f>IF(S39="","",'1Y Pricing'!$I39*100)</f>
        <v>1.6139264109472213</v>
      </c>
      <c r="U39" s="116">
        <f t="shared" si="9"/>
        <v>1.6139264109472213</v>
      </c>
      <c r="V39" s="115" t="str">
        <v>USD_CURVE_OIS_4Y</v>
      </c>
      <c r="W39" s="120">
        <f>IF(V39="","",'ON Pricing'!$G39*100)</f>
        <v>1.1499999999999904</v>
      </c>
      <c r="X39" s="120">
        <f t="shared" si="10"/>
        <v>1.1499999999999904</v>
      </c>
      <c r="Y39" s="115" t="str">
        <v>USD_CURVE_STD_4Y</v>
      </c>
      <c r="Z39" s="120">
        <f>IF(Y39="","",'STD Pricing'!$G39*100)</f>
        <v>1.3639999999999957</v>
      </c>
      <c r="AA39" s="120">
        <f t="shared" si="5"/>
        <v>1.3639999999999957</v>
      </c>
      <c r="AC39" s="143">
        <f>IF($C39=" ","",ROUND(ABS(_xll.RtGet(SourceAlias,$J39,BID)-K39),4))</f>
        <v>0</v>
      </c>
      <c r="AD39" s="143">
        <f>IF($C39=" ","",ROUND(ABS(_xll.RtGet(SourceAlias,$J39,ASK)-L39),4))</f>
        <v>0</v>
      </c>
      <c r="AE39" s="143">
        <f>IF($D39=" ","",ROUND(ABS(_xll.RtGet(SourceAlias,$M39,BID)-N39),4))</f>
        <v>0</v>
      </c>
      <c r="AF39" s="143">
        <f>IF($D39=" ","",ROUND(ABS(_xll.RtGet(SourceAlias,$M39,ASK)-O39),4))</f>
        <v>0</v>
      </c>
      <c r="AG39" s="143">
        <f>IF($E39=" ","",ROUND(ABS(_xll.RtGet(SourceAlias,$P39,BID)-Q39),4))</f>
        <v>0</v>
      </c>
      <c r="AH39" s="143">
        <f>IF($E39=" ","",ROUND(ABS(_xll.RtGet(SourceAlias,$P39,ASK)-R39),4))</f>
        <v>0</v>
      </c>
      <c r="AI39" s="143">
        <f>IF($F39=" ","",ROUND(ABS(_xll.RtGet(SourceAlias,$S39,BID)-T39),4))</f>
        <v>0</v>
      </c>
      <c r="AJ39" s="143">
        <f>IF($F39=" ","",ROUND(ABS(_xll.RtGet(SourceAlias,$S39,ASK)-U39),4))</f>
        <v>0</v>
      </c>
      <c r="AK39" s="143">
        <f>IF($G39=" ","",ROUND(ABS(_xll.RtGet(SourceAlias,$V39,BID)-W39),4))</f>
        <v>0</v>
      </c>
      <c r="AL39" s="143">
        <f>IF($G39=" ","",ROUND(ABS(_xll.RtGet(SourceAlias,$V39,ASK)-X39),4))</f>
        <v>0</v>
      </c>
      <c r="AM39" s="143">
        <f>IF($H39=" ","",ROUND(ABS(_xll.RtGet(SourceAlias,$Y39,BID)-Z39),4))</f>
        <v>0</v>
      </c>
      <c r="AN39" s="143">
        <f>IF($H39=" ","",ROUND(ABS(_xll.RtGet(SourceAlias,$Y39,ASK)-AA39),4))</f>
        <v>0</v>
      </c>
    </row>
    <row r="40" spans="1:40" x14ac:dyDescent="0.2">
      <c r="A40" s="192"/>
      <c r="B40" s="49" t="s">
        <v>26</v>
      </c>
      <c r="C40" s="132" t="str">
        <f>IF(Contribute="abcd",IF($E$2&lt;&gt;-1,_xll.RtContribute(SourceAlias,J40,Fields,K40:L40,"SCOPE:SERVER"),_xll.RtContribute(SourceAlias,"DDS_INSERT_S",$E$2:$G$2,J40:L40,"SCOPE:SERVER FTC:ALL")),"stopped")</f>
        <v>stopped</v>
      </c>
      <c r="D40" s="139" t="str">
        <f>IF(Contribute="abcd",IF($E$2&lt;&gt;-1,_xll.RtContribute(SourceAlias,M40,Fields,N40:O40,"SCOPE:SERVER"),_xll.RtContribute(SourceAlias,"DDS_INSERT_S",$E$2:$G$2,M40:O40,"SCOPE:SERVER FTC:ALL")),"stopped")</f>
        <v>stopped</v>
      </c>
      <c r="E40" s="139" t="str">
        <f>IF(Contribute="abcd",IF($E$2&lt;&gt;-1,_xll.RtContribute(SourceAlias,P40,Fields,Q40:R40,"SCOPE:SERVER"),_xll.RtContribute(SourceAlias,"DDS_INSERT_S",$E$2:$G$2,P40:R40,"SCOPE:SERVER FTC:ALL")),"stopped")</f>
        <v>stopped</v>
      </c>
      <c r="F40" s="132" t="str">
        <f>IF(Contribute="abcd",IF($E$2&lt;&gt;-1,_xll.RtContribute(SourceAlias,S40,Fields,T40:U40,"SCOPE:SERVER"),_xll.RtContribute(SourceAlias,"DDS_INSERT_S",$E$2:$G$2,T40:U40,"SCOPE:SERVER FTC:ALL")),"stopped")</f>
        <v>stopped</v>
      </c>
      <c r="G40" s="132" t="str">
        <f>IF(Contribute="abcd",IF($E$2&lt;&gt;-1,_xll.RtContribute(SourceAlias,V40,Fields,W40:X40,"SCOPE:SERVER"),_xll.RtContribute(SourceAlias,"DDS_INSERT_S",$E$2:$G$2,V40:X40,"SCOPE:SERVER FTC:ALL")),"stopped")</f>
        <v>stopped</v>
      </c>
      <c r="H40" s="132" t="str">
        <f>IF(Contribute="abcd",IF($E$2&lt;&gt;-1,_xll.RtContribute(SourceAlias,Y40,Fields,Z40:AA40,"SCOPE:SERVER"),_xll.RtContribute(SourceAlias,"DDS_INSERT_S",$E$2:$G$2,Y40:AA40,"SCOPE:SERVER FTC:ALL")),"stopped")</f>
        <v>stopped</v>
      </c>
      <c r="I40" s="3" t="s">
        <v>46</v>
      </c>
      <c r="J40" s="115" t="str">
        <v>USD_CURVE_1M_5Y</v>
      </c>
      <c r="K40" s="120">
        <f>IF(J40="","",'1M Pricing'!$I40*100)</f>
        <v>1.4502348912289287</v>
      </c>
      <c r="L40" s="120">
        <f t="shared" ref="L40:L68" si="11">K40</f>
        <v>1.4502348912289287</v>
      </c>
      <c r="M40" s="115" t="str">
        <v>USD_CURVE_3M_5Y</v>
      </c>
      <c r="N40" s="120">
        <f>IF(M40="","",'3M Pricing'!$I40*100)</f>
        <v>1.5709999999937057</v>
      </c>
      <c r="O40" s="116">
        <f t="shared" ref="O40:O68" si="12">N40</f>
        <v>1.5709999999937057</v>
      </c>
      <c r="P40" s="115" t="str">
        <v>USD_CURVE_6M_5Y</v>
      </c>
      <c r="Q40" s="116">
        <f>IF(P40="","",'6M Pricing'!$I40*100)</f>
        <v>1.6504326136123626</v>
      </c>
      <c r="R40" s="116">
        <f t="shared" ref="R40:R68" si="13">Q40</f>
        <v>1.6504326136123626</v>
      </c>
      <c r="S40" s="115" t="str">
        <v>USD_CURVE_12M_5Y</v>
      </c>
      <c r="T40" s="116">
        <f>IF(S40="","",'1Y Pricing'!$I40*100)</f>
        <v>1.8173416498238795</v>
      </c>
      <c r="U40" s="116">
        <f t="shared" ref="U40:U68" si="14">T40</f>
        <v>1.8173416498238795</v>
      </c>
      <c r="V40" s="115" t="str">
        <v>USD_CURVE_OIS_5Y</v>
      </c>
      <c r="W40" s="120">
        <f>IF(V40="","",'ON Pricing'!$G40*100)</f>
        <v>1.3529999999999716</v>
      </c>
      <c r="X40" s="120">
        <f t="shared" ref="X40:X68" si="15">W40</f>
        <v>1.3529999999999716</v>
      </c>
      <c r="Y40" s="115" t="str">
        <v>USD_CURVE_STD_5Y</v>
      </c>
      <c r="Z40" s="120">
        <f>IF(Y40="","",'STD Pricing'!$G40*100)</f>
        <v>1.571000000000002</v>
      </c>
      <c r="AA40" s="120">
        <f t="shared" si="5"/>
        <v>1.571000000000002</v>
      </c>
      <c r="AC40" s="143">
        <f>IF($C40=" ","",ROUND(ABS(_xll.RtGet(SourceAlias,$J40,BID)-K40),4))</f>
        <v>1E-3</v>
      </c>
      <c r="AD40" s="143">
        <f>IF($C40=" ","",ROUND(ABS(_xll.RtGet(SourceAlias,$J40,ASK)-L40),4))</f>
        <v>1E-3</v>
      </c>
      <c r="AE40" s="143">
        <f>IF($D40=" ","",ROUND(ABS(_xll.RtGet(SourceAlias,$M40,BID)-N40),4))</f>
        <v>1E-3</v>
      </c>
      <c r="AF40" s="143">
        <f>IF($D40=" ","",ROUND(ABS(_xll.RtGet(SourceAlias,$M40,ASK)-O40),4))</f>
        <v>1E-3</v>
      </c>
      <c r="AG40" s="143">
        <f>IF($E40=" ","",ROUND(ABS(_xll.RtGet(SourceAlias,$P40,BID)-Q40),4))</f>
        <v>1E-3</v>
      </c>
      <c r="AH40" s="143">
        <f>IF($E40=" ","",ROUND(ABS(_xll.RtGet(SourceAlias,$P40,ASK)-R40),4))</f>
        <v>1E-3</v>
      </c>
      <c r="AI40" s="143">
        <f>IF($F40=" ","",ROUND(ABS(_xll.RtGet(SourceAlias,$S40,BID)-T40),4))</f>
        <v>1E-3</v>
      </c>
      <c r="AJ40" s="143">
        <f>IF($F40=" ","",ROUND(ABS(_xll.RtGet(SourceAlias,$S40,ASK)-U40),4))</f>
        <v>1E-3</v>
      </c>
      <c r="AK40" s="143">
        <f>IF($G40=" ","",ROUND(ABS(_xll.RtGet(SourceAlias,$V40,BID)-W40),4))</f>
        <v>0</v>
      </c>
      <c r="AL40" s="143">
        <f>IF($G40=" ","",ROUND(ABS(_xll.RtGet(SourceAlias,$V40,ASK)-X40),4))</f>
        <v>0</v>
      </c>
      <c r="AM40" s="143">
        <f>IF($H40=" ","",ROUND(ABS(_xll.RtGet(SourceAlias,$Y40,BID)-Z40),4))</f>
        <v>1E-3</v>
      </c>
      <c r="AN40" s="143">
        <f>IF($H40=" ","",ROUND(ABS(_xll.RtGet(SourceAlias,$Y40,ASK)-AA40),4))</f>
        <v>1E-3</v>
      </c>
    </row>
    <row r="41" spans="1:40" x14ac:dyDescent="0.2">
      <c r="A41" s="192"/>
      <c r="B41" s="49" t="s">
        <v>72</v>
      </c>
      <c r="C41" s="132" t="str">
        <f>IF(Contribute="abcd",IF($E$2&lt;&gt;-1,_xll.RtContribute(SourceAlias,J41,Fields,K41:L41,"SCOPE:SERVER"),_xll.RtContribute(SourceAlias,"DDS_INSERT_S",$E$2:$G$2,J41:L41,"SCOPE:SERVER FTC:ALL")),"stopped")</f>
        <v>stopped</v>
      </c>
      <c r="D41" s="139" t="str">
        <f>IF(Contribute="abcd",IF($E$2&lt;&gt;-1,_xll.RtContribute(SourceAlias,M41,Fields,N41:O41,"SCOPE:SERVER"),_xll.RtContribute(SourceAlias,"DDS_INSERT_S",$E$2:$G$2,M41:O41,"SCOPE:SERVER FTC:ALL")),"stopped")</f>
        <v>stopped</v>
      </c>
      <c r="E41" s="139" t="str">
        <f>IF(Contribute="abcd",IF($E$2&lt;&gt;-1,_xll.RtContribute(SourceAlias,P41,Fields,Q41:R41,"SCOPE:SERVER"),_xll.RtContribute(SourceAlias,"DDS_INSERT_S",$E$2:$G$2,P41:R41,"SCOPE:SERVER FTC:ALL")),"stopped")</f>
        <v>stopped</v>
      </c>
      <c r="F41" s="132" t="str">
        <f>IF(Contribute="abcd",IF($E$2&lt;&gt;-1,_xll.RtContribute(SourceAlias,S41,Fields,T41:U41,"SCOPE:SERVER"),_xll.RtContribute(SourceAlias,"DDS_INSERT_S",$E$2:$G$2,T41:U41,"SCOPE:SERVER FTC:ALL")),"stopped")</f>
        <v>stopped</v>
      </c>
      <c r="G41" s="132" t="str">
        <f>IF(Contribute="abcd",IF($E$2&lt;&gt;-1,_xll.RtContribute(SourceAlias,V41,Fields,W41:X41,"SCOPE:SERVER"),_xll.RtContribute(SourceAlias,"DDS_INSERT_S",$E$2:$G$2,V41:X41,"SCOPE:SERVER FTC:ALL")),"stopped")</f>
        <v>stopped</v>
      </c>
      <c r="H41" s="132" t="str">
        <f>IF(Contribute="abcd",IF($E$2&lt;&gt;-1,_xll.RtContribute(SourceAlias,Y41,Fields,Z41:AA41,"SCOPE:SERVER"),_xll.RtContribute(SourceAlias,"DDS_INSERT_S",$E$2:$G$2,Y41:AA41,"SCOPE:SERVER FTC:ALL")),"stopped")</f>
        <v>stopped</v>
      </c>
      <c r="I41" s="3" t="s">
        <v>46</v>
      </c>
      <c r="J41" s="115" t="str">
        <v>USD_CURVE_1M_6Y</v>
      </c>
      <c r="K41" s="120">
        <f>IF(J41="","",'1M Pricing'!$I41*100)</f>
        <v>1.6271435245909831</v>
      </c>
      <c r="L41" s="120">
        <f t="shared" si="11"/>
        <v>1.6271435245909831</v>
      </c>
      <c r="M41" s="115" t="str">
        <v>USD_CURVE_3M_6Y</v>
      </c>
      <c r="N41" s="120">
        <f>IF(M41="","",'3M Pricing'!$I41*100)</f>
        <v>1.7469999999948551</v>
      </c>
      <c r="O41" s="116">
        <f t="shared" si="12"/>
        <v>1.7469999999948551</v>
      </c>
      <c r="P41" s="115" t="str">
        <v>USD_CURVE_6M_6Y</v>
      </c>
      <c r="Q41" s="116">
        <f>IF(P41="","",'6M Pricing'!$I41*100)</f>
        <v>1.8274889139127073</v>
      </c>
      <c r="R41" s="116">
        <f t="shared" si="13"/>
        <v>1.8274889139127073</v>
      </c>
      <c r="S41" s="115" t="str">
        <v>USD_CURVE_12M_6Y</v>
      </c>
      <c r="T41" s="116">
        <f>IF(S41="","",'1Y Pricing'!$I41*100)</f>
        <v>1.9909820203072617</v>
      </c>
      <c r="U41" s="116">
        <f t="shared" si="14"/>
        <v>1.9909820203072617</v>
      </c>
      <c r="V41" s="115" t="str">
        <v>USD_CURVE_OIS_6Y</v>
      </c>
      <c r="W41" s="120">
        <f>IF(V41="","",'ON Pricing'!$G41*100)</f>
        <v>1.5290000000000039</v>
      </c>
      <c r="X41" s="120">
        <f t="shared" si="15"/>
        <v>1.5290000000000039</v>
      </c>
      <c r="Y41" s="115" t="str">
        <v>USD_CURVE_STD_6Y</v>
      </c>
      <c r="Z41" s="120">
        <f>IF(Y41="","",'STD Pricing'!$G41*100)</f>
        <v>1.7469999999999974</v>
      </c>
      <c r="AA41" s="120">
        <f t="shared" si="5"/>
        <v>1.7469999999999974</v>
      </c>
      <c r="AC41" s="143">
        <f>IF($C41=" ","",ROUND(ABS(_xll.RtGet(SourceAlias,$J41,BID)-K41),4))</f>
        <v>0</v>
      </c>
      <c r="AD41" s="143">
        <f>IF($C41=" ","",ROUND(ABS(_xll.RtGet(SourceAlias,$J41,ASK)-L41),4))</f>
        <v>0</v>
      </c>
      <c r="AE41" s="143">
        <f>IF($D41=" ","",ROUND(ABS(_xll.RtGet(SourceAlias,$M41,BID)-N41),4))</f>
        <v>0</v>
      </c>
      <c r="AF41" s="143">
        <f>IF($D41=" ","",ROUND(ABS(_xll.RtGet(SourceAlias,$M41,ASK)-O41),4))</f>
        <v>0</v>
      </c>
      <c r="AG41" s="143">
        <f>IF($E41=" ","",ROUND(ABS(_xll.RtGet(SourceAlias,$P41,BID)-Q41),4))</f>
        <v>0</v>
      </c>
      <c r="AH41" s="143">
        <f>IF($E41=" ","",ROUND(ABS(_xll.RtGet(SourceAlias,$P41,ASK)-R41),4))</f>
        <v>0</v>
      </c>
      <c r="AI41" s="143">
        <f>IF($F41=" ","",ROUND(ABS(_xll.RtGet(SourceAlias,$S41,BID)-T41),4))</f>
        <v>0</v>
      </c>
      <c r="AJ41" s="143">
        <f>IF($F41=" ","",ROUND(ABS(_xll.RtGet(SourceAlias,$S41,ASK)-U41),4))</f>
        <v>0</v>
      </c>
      <c r="AK41" s="143">
        <f>IF($G41=" ","",ROUND(ABS(_xll.RtGet(SourceAlias,$V41,BID)-W41),4))</f>
        <v>0</v>
      </c>
      <c r="AL41" s="143">
        <f>IF($G41=" ","",ROUND(ABS(_xll.RtGet(SourceAlias,$V41,ASK)-X41),4))</f>
        <v>0</v>
      </c>
      <c r="AM41" s="143">
        <f>IF($H41=" ","",ROUND(ABS(_xll.RtGet(SourceAlias,$Y41,BID)-Z41),4))</f>
        <v>0</v>
      </c>
      <c r="AN41" s="143">
        <f>IF($H41=" ","",ROUND(ABS(_xll.RtGet(SourceAlias,$Y41,ASK)-AA41),4))</f>
        <v>0</v>
      </c>
    </row>
    <row r="42" spans="1:40" x14ac:dyDescent="0.2">
      <c r="A42" s="192"/>
      <c r="B42" s="49" t="s">
        <v>27</v>
      </c>
      <c r="C42" s="132" t="str">
        <f>IF(Contribute="abcd",IF($E$2&lt;&gt;-1,_xll.RtContribute(SourceAlias,J42,Fields,K42:L42,"SCOPE:SERVER"),_xll.RtContribute(SourceAlias,"DDS_INSERT_S",$E$2:$G$2,J42:L42,"SCOPE:SERVER FTC:ALL")),"stopped")</f>
        <v>stopped</v>
      </c>
      <c r="D42" s="139" t="str">
        <f>IF(Contribute="abcd",IF($E$2&lt;&gt;-1,_xll.RtContribute(SourceAlias,M42,Fields,N42:O42,"SCOPE:SERVER"),_xll.RtContribute(SourceAlias,"DDS_INSERT_S",$E$2:$G$2,M42:O42,"SCOPE:SERVER FTC:ALL")),"stopped")</f>
        <v>stopped</v>
      </c>
      <c r="E42" s="139" t="str">
        <f>IF(Contribute="abcd",IF($E$2&lt;&gt;-1,_xll.RtContribute(SourceAlias,P42,Fields,Q42:R42,"SCOPE:SERVER"),_xll.RtContribute(SourceAlias,"DDS_INSERT_S",$E$2:$G$2,P42:R42,"SCOPE:SERVER FTC:ALL")),"stopped")</f>
        <v>stopped</v>
      </c>
      <c r="F42" s="132" t="str">
        <f>IF(Contribute="abcd",IF($E$2&lt;&gt;-1,_xll.RtContribute(SourceAlias,S42,Fields,T42:U42,"SCOPE:SERVER"),_xll.RtContribute(SourceAlias,"DDS_INSERT_S",$E$2:$G$2,T42:U42,"SCOPE:SERVER FTC:ALL")),"stopped")</f>
        <v>stopped</v>
      </c>
      <c r="G42" s="132" t="str">
        <f>IF(Contribute="abcd",IF($E$2&lt;&gt;-1,_xll.RtContribute(SourceAlias,V42,Fields,W42:X42,"SCOPE:SERVER"),_xll.RtContribute(SourceAlias,"DDS_INSERT_S",$E$2:$G$2,V42:X42,"SCOPE:SERVER FTC:ALL")),"stopped")</f>
        <v>stopped</v>
      </c>
      <c r="H42" s="132" t="str">
        <f>IF(Contribute="abcd",IF($E$2&lt;&gt;-1,_xll.RtContribute(SourceAlias,Y42,Fields,Z42:AA42,"SCOPE:SERVER"),_xll.RtContribute(SourceAlias,"DDS_INSERT_S",$E$2:$G$2,Y42:AA42,"SCOPE:SERVER FTC:ALL")),"stopped")</f>
        <v>stopped</v>
      </c>
      <c r="I42" s="3" t="s">
        <v>46</v>
      </c>
      <c r="J42" s="115" t="str">
        <v>USD_CURVE_1M_7Y</v>
      </c>
      <c r="K42" s="120">
        <f>IF(J42="","",'1M Pricing'!$I42*100)</f>
        <v>1.7780863725091109</v>
      </c>
      <c r="L42" s="120">
        <f t="shared" si="11"/>
        <v>1.7780863725091109</v>
      </c>
      <c r="M42" s="115" t="str">
        <v>USD_CURVE_3M_7Y</v>
      </c>
      <c r="N42" s="120">
        <f>IF(M42="","",'3M Pricing'!$I42*100)</f>
        <v>1.8949999999934666</v>
      </c>
      <c r="O42" s="116">
        <f t="shared" si="12"/>
        <v>1.8949999999934666</v>
      </c>
      <c r="P42" s="115" t="str">
        <v>USD_CURVE_6M_7Y</v>
      </c>
      <c r="Q42" s="116">
        <f>IF(P42="","",'6M Pricing'!$I42*100)</f>
        <v>1.9765379727909937</v>
      </c>
      <c r="R42" s="116">
        <f t="shared" si="13"/>
        <v>1.9765379727909937</v>
      </c>
      <c r="S42" s="115" t="str">
        <v>USD_CURVE_12M_7Y</v>
      </c>
      <c r="T42" s="116">
        <f>IF(S42="","",'1Y Pricing'!$I42*100)</f>
        <v>2.1378522955239929</v>
      </c>
      <c r="U42" s="116">
        <f t="shared" si="14"/>
        <v>2.1378522955239929</v>
      </c>
      <c r="V42" s="115" t="str">
        <v>USD_CURVE_OIS_7Y</v>
      </c>
      <c r="W42" s="120">
        <f>IF(V42="","",'ON Pricing'!$G42*100)</f>
        <v>1.6759999999999928</v>
      </c>
      <c r="X42" s="120">
        <f t="shared" si="15"/>
        <v>1.6759999999999928</v>
      </c>
      <c r="Y42" s="115" t="str">
        <v>USD_CURVE_STD_7Y</v>
      </c>
      <c r="Z42" s="120">
        <f>IF(Y42="","",'STD Pricing'!$G42*100)</f>
        <v>1.8949999999999967</v>
      </c>
      <c r="AA42" s="120">
        <f t="shared" si="5"/>
        <v>1.8949999999999967</v>
      </c>
      <c r="AC42" s="143">
        <f>IF($C42=" ","",ROUND(ABS(_xll.RtGet(SourceAlias,$J42,BID)-K42),4))</f>
        <v>1E-3</v>
      </c>
      <c r="AD42" s="143">
        <f>IF($C42=" ","",ROUND(ABS(_xll.RtGet(SourceAlias,$J42,ASK)-L42),4))</f>
        <v>1E-3</v>
      </c>
      <c r="AE42" s="143">
        <f>IF($D42=" ","",ROUND(ABS(_xll.RtGet(SourceAlias,$M42,BID)-N42),4))</f>
        <v>1E-3</v>
      </c>
      <c r="AF42" s="143">
        <f>IF($D42=" ","",ROUND(ABS(_xll.RtGet(SourceAlias,$M42,ASK)-O42),4))</f>
        <v>1E-3</v>
      </c>
      <c r="AG42" s="143">
        <f>IF($E42=" ","",ROUND(ABS(_xll.RtGet(SourceAlias,$P42,BID)-Q42),4))</f>
        <v>1E-3</v>
      </c>
      <c r="AH42" s="143">
        <f>IF($E42=" ","",ROUND(ABS(_xll.RtGet(SourceAlias,$P42,ASK)-R42),4))</f>
        <v>1E-3</v>
      </c>
      <c r="AI42" s="143">
        <f>IF($F42=" ","",ROUND(ABS(_xll.RtGet(SourceAlias,$S42,BID)-T42),4))</f>
        <v>1E-3</v>
      </c>
      <c r="AJ42" s="143">
        <f>IF($F42=" ","",ROUND(ABS(_xll.RtGet(SourceAlias,$S42,ASK)-U42),4))</f>
        <v>1E-3</v>
      </c>
      <c r="AK42" s="143">
        <f>IF($G42=" ","",ROUND(ABS(_xll.RtGet(SourceAlias,$V42,BID)-W42),4))</f>
        <v>0</v>
      </c>
      <c r="AL42" s="143">
        <f>IF($G42=" ","",ROUND(ABS(_xll.RtGet(SourceAlias,$V42,ASK)-X42),4))</f>
        <v>0</v>
      </c>
      <c r="AM42" s="143">
        <f>IF($H42=" ","",ROUND(ABS(_xll.RtGet(SourceAlias,$Y42,BID)-Z42),4))</f>
        <v>1E-3</v>
      </c>
      <c r="AN42" s="143">
        <f>IF($H42=" ","",ROUND(ABS(_xll.RtGet(SourceAlias,$Y42,ASK)-AA42),4))</f>
        <v>1E-3</v>
      </c>
    </row>
    <row r="43" spans="1:40" x14ac:dyDescent="0.2">
      <c r="A43" s="192"/>
      <c r="B43" s="49" t="s">
        <v>73</v>
      </c>
      <c r="C43" s="132" t="str">
        <f>IF(Contribute="abcd",IF($E$2&lt;&gt;-1,_xll.RtContribute(SourceAlias,J43,Fields,K43:L43,"SCOPE:SERVER"),_xll.RtContribute(SourceAlias,"DDS_INSERT_S",$E$2:$G$2,J43:L43,"SCOPE:SERVER FTC:ALL")),"stopped")</f>
        <v>stopped</v>
      </c>
      <c r="D43" s="139" t="str">
        <f>IF(Contribute="abcd",IF($E$2&lt;&gt;-1,_xll.RtContribute(SourceAlias,M43,Fields,N43:O43,"SCOPE:SERVER"),_xll.RtContribute(SourceAlias,"DDS_INSERT_S",$E$2:$G$2,M43:O43,"SCOPE:SERVER FTC:ALL")),"stopped")</f>
        <v>stopped</v>
      </c>
      <c r="E43" s="139" t="str">
        <f>IF(Contribute="abcd",IF($E$2&lt;&gt;-1,_xll.RtContribute(SourceAlias,P43,Fields,Q43:R43,"SCOPE:SERVER"),_xll.RtContribute(SourceAlias,"DDS_INSERT_S",$E$2:$G$2,P43:R43,"SCOPE:SERVER FTC:ALL")),"stopped")</f>
        <v>stopped</v>
      </c>
      <c r="F43" s="132" t="str">
        <f>IF(Contribute="abcd",IF($E$2&lt;&gt;-1,_xll.RtContribute(SourceAlias,S43,Fields,T43:U43,"SCOPE:SERVER"),_xll.RtContribute(SourceAlias,"DDS_INSERT_S",$E$2:$G$2,T43:U43,"SCOPE:SERVER FTC:ALL")),"stopped")</f>
        <v>stopped</v>
      </c>
      <c r="G43" s="132" t="str">
        <f>IF(Contribute="abcd",IF($E$2&lt;&gt;-1,_xll.RtContribute(SourceAlias,V43,Fields,W43:X43,"SCOPE:SERVER"),_xll.RtContribute(SourceAlias,"DDS_INSERT_S",$E$2:$G$2,V43:X43,"SCOPE:SERVER FTC:ALL")),"stopped")</f>
        <v>stopped</v>
      </c>
      <c r="H43" s="132" t="str">
        <f>IF(Contribute="abcd",IF($E$2&lt;&gt;-1,_xll.RtContribute(SourceAlias,Y43,Fields,Z43:AA43,"SCOPE:SERVER"),_xll.RtContribute(SourceAlias,"DDS_INSERT_S",$E$2:$G$2,Y43:AA43,"SCOPE:SERVER FTC:ALL")),"stopped")</f>
        <v>stopped</v>
      </c>
      <c r="I43" s="3" t="s">
        <v>46</v>
      </c>
      <c r="J43" s="115" t="str">
        <v>USD_CURVE_1M_8Y</v>
      </c>
      <c r="K43" s="120">
        <f>IF(J43="","",'1M Pricing'!$I43*100)</f>
        <v>1.9030486219144591</v>
      </c>
      <c r="L43" s="120">
        <f t="shared" si="11"/>
        <v>1.9030486219144591</v>
      </c>
      <c r="M43" s="115" t="str">
        <v>USD_CURVE_3M_8Y</v>
      </c>
      <c r="N43" s="120">
        <f>IF(M43="","",'3M Pricing'!$I43*100)</f>
        <v>2.0169999999984372</v>
      </c>
      <c r="O43" s="116">
        <f t="shared" si="12"/>
        <v>2.0169999999984372</v>
      </c>
      <c r="P43" s="115" t="str">
        <v>USD_CURVE_6M_8Y</v>
      </c>
      <c r="Q43" s="116">
        <f>IF(P43="","",'6M Pricing'!$I43*100)</f>
        <v>2.1005866391690864</v>
      </c>
      <c r="R43" s="116">
        <f t="shared" si="13"/>
        <v>2.1005866391690864</v>
      </c>
      <c r="S43" s="115" t="str">
        <v>USD_CURVE_12M_8Y</v>
      </c>
      <c r="T43" s="116">
        <f>IF(S43="","",'1Y Pricing'!$I43*100)</f>
        <v>2.2574374711330361</v>
      </c>
      <c r="U43" s="116">
        <f t="shared" si="14"/>
        <v>2.2574374711330361</v>
      </c>
      <c r="V43" s="115" t="str">
        <v>USD_CURVE_OIS_8Y</v>
      </c>
      <c r="W43" s="120">
        <f>IF(V43="","",'ON Pricing'!$G43*100)</f>
        <v>1.7960000000049345</v>
      </c>
      <c r="X43" s="120">
        <f t="shared" si="15"/>
        <v>1.7960000000049345</v>
      </c>
      <c r="Y43" s="115" t="str">
        <v>USD_CURVE_STD_8Y</v>
      </c>
      <c r="Z43" s="120">
        <f>IF(Y43="","",'STD Pricing'!$G43*100)</f>
        <v>2.0169999999999946</v>
      </c>
      <c r="AA43" s="120">
        <f t="shared" si="5"/>
        <v>2.0169999999999946</v>
      </c>
      <c r="AC43" s="143">
        <f>IF($C43=" ","",ROUND(ABS(_xll.RtGet(SourceAlias,$J43,BID)-K43),4))</f>
        <v>1E-3</v>
      </c>
      <c r="AD43" s="143">
        <f>IF($C43=" ","",ROUND(ABS(_xll.RtGet(SourceAlias,$J43,ASK)-L43),4))</f>
        <v>1E-3</v>
      </c>
      <c r="AE43" s="143">
        <f>IF($D43=" ","",ROUND(ABS(_xll.RtGet(SourceAlias,$M43,BID)-N43),4))</f>
        <v>1E-3</v>
      </c>
      <c r="AF43" s="143">
        <f>IF($D43=" ","",ROUND(ABS(_xll.RtGet(SourceAlias,$M43,ASK)-O43),4))</f>
        <v>1E-3</v>
      </c>
      <c r="AG43" s="143">
        <f>IF($E43=" ","",ROUND(ABS(_xll.RtGet(SourceAlias,$P43,BID)-Q43),4))</f>
        <v>1E-3</v>
      </c>
      <c r="AH43" s="143">
        <f>IF($E43=" ","",ROUND(ABS(_xll.RtGet(SourceAlias,$P43,ASK)-R43),4))</f>
        <v>1E-3</v>
      </c>
      <c r="AI43" s="143">
        <f>IF($F43=" ","",ROUND(ABS(_xll.RtGet(SourceAlias,$S43,BID)-T43),4))</f>
        <v>1E-3</v>
      </c>
      <c r="AJ43" s="143">
        <f>IF($F43=" ","",ROUND(ABS(_xll.RtGet(SourceAlias,$S43,ASK)-U43),4))</f>
        <v>1E-3</v>
      </c>
      <c r="AK43" s="143">
        <f>IF($G43=" ","",ROUND(ABS(_xll.RtGet(SourceAlias,$V43,BID)-W43),4))</f>
        <v>0</v>
      </c>
      <c r="AL43" s="143">
        <f>IF($G43=" ","",ROUND(ABS(_xll.RtGet(SourceAlias,$V43,ASK)-X43),4))</f>
        <v>0</v>
      </c>
      <c r="AM43" s="143">
        <f>IF($H43=" ","",ROUND(ABS(_xll.RtGet(SourceAlias,$Y43,BID)-Z43),4))</f>
        <v>1E-3</v>
      </c>
      <c r="AN43" s="143">
        <f>IF($H43=" ","",ROUND(ABS(_xll.RtGet(SourceAlias,$Y43,ASK)-AA43),4))</f>
        <v>1E-3</v>
      </c>
    </row>
    <row r="44" spans="1:40" x14ac:dyDescent="0.2">
      <c r="A44" s="192"/>
      <c r="B44" s="49" t="s">
        <v>74</v>
      </c>
      <c r="C44" s="132" t="str">
        <f>IF(Contribute="abcd",IF($E$2&lt;&gt;-1,_xll.RtContribute(SourceAlias,J44,Fields,K44:L44,"SCOPE:SERVER"),_xll.RtContribute(SourceAlias,"DDS_INSERT_S",$E$2:$G$2,J44:L44,"SCOPE:SERVER FTC:ALL")),"stopped")</f>
        <v>stopped</v>
      </c>
      <c r="D44" s="139" t="str">
        <f>IF(Contribute="abcd",IF($E$2&lt;&gt;-1,_xll.RtContribute(SourceAlias,M44,Fields,N44:O44,"SCOPE:SERVER"),_xll.RtContribute(SourceAlias,"DDS_INSERT_S",$E$2:$G$2,M44:O44,"SCOPE:SERVER FTC:ALL")),"stopped")</f>
        <v>stopped</v>
      </c>
      <c r="E44" s="139" t="str">
        <f>IF(Contribute="abcd",IF($E$2&lt;&gt;-1,_xll.RtContribute(SourceAlias,P44,Fields,Q44:R44,"SCOPE:SERVER"),_xll.RtContribute(SourceAlias,"DDS_INSERT_S",$E$2:$G$2,P44:R44,"SCOPE:SERVER FTC:ALL")),"stopped")</f>
        <v>stopped</v>
      </c>
      <c r="F44" s="132" t="str">
        <f>IF(Contribute="abcd",IF($E$2&lt;&gt;-1,_xll.RtContribute(SourceAlias,S44,Fields,T44:U44,"SCOPE:SERVER"),_xll.RtContribute(SourceAlias,"DDS_INSERT_S",$E$2:$G$2,T44:U44,"SCOPE:SERVER FTC:ALL")),"stopped")</f>
        <v>stopped</v>
      </c>
      <c r="G44" s="132" t="str">
        <f>IF(Contribute="abcd",IF($E$2&lt;&gt;-1,_xll.RtContribute(SourceAlias,V44,Fields,W44:X44,"SCOPE:SERVER"),_xll.RtContribute(SourceAlias,"DDS_INSERT_S",$E$2:$G$2,V44:X44,"SCOPE:SERVER FTC:ALL")),"stopped")</f>
        <v>stopped</v>
      </c>
      <c r="H44" s="132" t="str">
        <f>IF(Contribute="abcd",IF($E$2&lt;&gt;-1,_xll.RtContribute(SourceAlias,Y44,Fields,Z44:AA44,"SCOPE:SERVER"),_xll.RtContribute(SourceAlias,"DDS_INSERT_S",$E$2:$G$2,Y44:AA44,"SCOPE:SERVER FTC:ALL")),"stopped")</f>
        <v>stopped</v>
      </c>
      <c r="I44" s="3" t="s">
        <v>46</v>
      </c>
      <c r="J44" s="115" t="str">
        <v>USD_CURVE_1M_9Y</v>
      </c>
      <c r="K44" s="120">
        <f>IF(J44="","",'1M Pricing'!$I44*100)</f>
        <v>2.0070301774834194</v>
      </c>
      <c r="L44" s="120">
        <f t="shared" si="11"/>
        <v>2.0070301774834194</v>
      </c>
      <c r="M44" s="115" t="str">
        <v>USD_CURVE_3M_9Y</v>
      </c>
      <c r="N44" s="120">
        <f>IF(M44="","",'3M Pricing'!$I44*100)</f>
        <v>2.1170000000001741</v>
      </c>
      <c r="O44" s="116">
        <f t="shared" si="12"/>
        <v>2.1170000000001741</v>
      </c>
      <c r="P44" s="115" t="str">
        <v>USD_CURVE_6M_9Y</v>
      </c>
      <c r="Q44" s="116">
        <f>IF(P44="","",'6M Pricing'!$I44*100)</f>
        <v>2.2026329140696981</v>
      </c>
      <c r="R44" s="116">
        <f t="shared" si="13"/>
        <v>2.2026329140696981</v>
      </c>
      <c r="S44" s="115" t="str">
        <v>USD_CURVE_12M_9Y</v>
      </c>
      <c r="T44" s="116">
        <f>IF(S44="","",'1Y Pricing'!$I44*100)</f>
        <v>2.3562684363796302</v>
      </c>
      <c r="U44" s="116">
        <f t="shared" si="14"/>
        <v>2.3562684363796302</v>
      </c>
      <c r="V44" s="115" t="str">
        <v>USD_CURVE_OIS_9Y</v>
      </c>
      <c r="W44" s="120">
        <f>IF(V44="","",'ON Pricing'!$G44*100)</f>
        <v>1.9020000000037753</v>
      </c>
      <c r="X44" s="120">
        <f t="shared" si="15"/>
        <v>1.9020000000037753</v>
      </c>
      <c r="Y44" s="115" t="str">
        <v>USD_CURVE_STD_9Y</v>
      </c>
      <c r="Z44" s="120">
        <f>IF(Y44="","",'STD Pricing'!$G44*100)</f>
        <v>2.1169999999999924</v>
      </c>
      <c r="AA44" s="120">
        <f t="shared" si="5"/>
        <v>2.1169999999999924</v>
      </c>
      <c r="AC44" s="143">
        <f>IF($C44=" ","",ROUND(ABS(_xll.RtGet(SourceAlias,$J44,BID)-K44),4))</f>
        <v>1E-3</v>
      </c>
      <c r="AD44" s="143">
        <f>IF($C44=" ","",ROUND(ABS(_xll.RtGet(SourceAlias,$J44,ASK)-L44),4))</f>
        <v>1E-3</v>
      </c>
      <c r="AE44" s="143">
        <f>IF($D44=" ","",ROUND(ABS(_xll.RtGet(SourceAlias,$M44,BID)-N44),4))</f>
        <v>1E-3</v>
      </c>
      <c r="AF44" s="143">
        <f>IF($D44=" ","",ROUND(ABS(_xll.RtGet(SourceAlias,$M44,ASK)-O44),4))</f>
        <v>1E-3</v>
      </c>
      <c r="AG44" s="143">
        <f>IF($E44=" ","",ROUND(ABS(_xll.RtGet(SourceAlias,$P44,BID)-Q44),4))</f>
        <v>1E-3</v>
      </c>
      <c r="AH44" s="143">
        <f>IF($E44=" ","",ROUND(ABS(_xll.RtGet(SourceAlias,$P44,ASK)-R44),4))</f>
        <v>1E-3</v>
      </c>
      <c r="AI44" s="143">
        <f>IF($F44=" ","",ROUND(ABS(_xll.RtGet(SourceAlias,$S44,BID)-T44),4))</f>
        <v>1E-3</v>
      </c>
      <c r="AJ44" s="143">
        <f>IF($F44=" ","",ROUND(ABS(_xll.RtGet(SourceAlias,$S44,ASK)-U44),4))</f>
        <v>1E-3</v>
      </c>
      <c r="AK44" s="143">
        <f>IF($G44=" ","",ROUND(ABS(_xll.RtGet(SourceAlias,$V44,BID)-W44),4))</f>
        <v>0</v>
      </c>
      <c r="AL44" s="143">
        <f>IF($G44=" ","",ROUND(ABS(_xll.RtGet(SourceAlias,$V44,ASK)-X44),4))</f>
        <v>0</v>
      </c>
      <c r="AM44" s="143">
        <f>IF($H44=" ","",ROUND(ABS(_xll.RtGet(SourceAlias,$Y44,BID)-Z44),4))</f>
        <v>1E-3</v>
      </c>
      <c r="AN44" s="143">
        <f>IF($H44=" ","",ROUND(ABS(_xll.RtGet(SourceAlias,$Y44,ASK)-AA44),4))</f>
        <v>1E-3</v>
      </c>
    </row>
    <row r="45" spans="1:40" x14ac:dyDescent="0.2">
      <c r="A45" s="192"/>
      <c r="B45" s="49" t="s">
        <v>28</v>
      </c>
      <c r="C45" s="132" t="str">
        <f>IF(Contribute="abcd",IF($E$2&lt;&gt;-1,_xll.RtContribute(SourceAlias,J45,Fields,K45:L45,"SCOPE:SERVER"),_xll.RtContribute(SourceAlias,"DDS_INSERT_S",$E$2:$G$2,J45:L45,"SCOPE:SERVER FTC:ALL")),"stopped")</f>
        <v>stopped</v>
      </c>
      <c r="D45" s="139" t="str">
        <f>IF(Contribute="abcd",IF($E$2&lt;&gt;-1,_xll.RtContribute(SourceAlias,M45,Fields,N45:O45,"SCOPE:SERVER"),_xll.RtContribute(SourceAlias,"DDS_INSERT_S",$E$2:$G$2,M45:O45,"SCOPE:SERVER FTC:ALL")),"stopped")</f>
        <v>stopped</v>
      </c>
      <c r="E45" s="139" t="str">
        <f>IF(Contribute="abcd",IF($E$2&lt;&gt;-1,_xll.RtContribute(SourceAlias,P45,Fields,Q45:R45,"SCOPE:SERVER"),_xll.RtContribute(SourceAlias,"DDS_INSERT_S",$E$2:$G$2,P45:R45,"SCOPE:SERVER FTC:ALL")),"stopped")</f>
        <v>stopped</v>
      </c>
      <c r="F45" s="132" t="str">
        <f>IF(Contribute="abcd",IF($E$2&lt;&gt;-1,_xll.RtContribute(SourceAlias,S45,Fields,T45:U45,"SCOPE:SERVER"),_xll.RtContribute(SourceAlias,"DDS_INSERT_S",$E$2:$G$2,T45:U45,"SCOPE:SERVER FTC:ALL")),"stopped")</f>
        <v>stopped</v>
      </c>
      <c r="G45" s="132" t="str">
        <f>IF(Contribute="abcd",IF($E$2&lt;&gt;-1,_xll.RtContribute(SourceAlias,V45,Fields,W45:X45,"SCOPE:SERVER"),_xll.RtContribute(SourceAlias,"DDS_INSERT_S",$E$2:$G$2,V45:X45,"SCOPE:SERVER FTC:ALL")),"stopped")</f>
        <v>stopped</v>
      </c>
      <c r="H45" s="132" t="str">
        <f>IF(Contribute="abcd",IF($E$2&lt;&gt;-1,_xll.RtContribute(SourceAlias,Y45,Fields,Z45:AA45,"SCOPE:SERVER"),_xll.RtContribute(SourceAlias,"DDS_INSERT_S",$E$2:$G$2,Y45:AA45,"SCOPE:SERVER FTC:ALL")),"stopped")</f>
        <v>stopped</v>
      </c>
      <c r="I45" s="3" t="s">
        <v>46</v>
      </c>
      <c r="J45" s="115" t="str">
        <v>USD_CURVE_1M_10Y</v>
      </c>
      <c r="K45" s="120">
        <f>IF(J45="","",'1M Pricing'!$I45*100)</f>
        <v>2.0930167266054664</v>
      </c>
      <c r="L45" s="120">
        <f t="shared" si="11"/>
        <v>2.0930167266054664</v>
      </c>
      <c r="M45" s="115" t="str">
        <v>USD_CURVE_3M_10Y</v>
      </c>
      <c r="N45" s="120">
        <f>IF(M45="","",'3M Pricing'!$I45*100)</f>
        <v>2.199999999990967</v>
      </c>
      <c r="O45" s="116">
        <f t="shared" si="12"/>
        <v>2.199999999990967</v>
      </c>
      <c r="P45" s="115" t="str">
        <v>USD_CURVE_6M_10Y</v>
      </c>
      <c r="Q45" s="116">
        <f>IF(P45="","",'6M Pricing'!$I45*100)</f>
        <v>2.2896892110819929</v>
      </c>
      <c r="R45" s="116">
        <f t="shared" si="13"/>
        <v>2.2896892110819929</v>
      </c>
      <c r="S45" s="115" t="str">
        <v>USD_CURVE_12M_10Y</v>
      </c>
      <c r="T45" s="116">
        <f>IF(S45="","",'1Y Pricing'!$I45*100)</f>
        <v>2.439339186863648</v>
      </c>
      <c r="U45" s="116">
        <f t="shared" si="14"/>
        <v>2.439339186863648</v>
      </c>
      <c r="V45" s="115" t="str">
        <v>USD_CURVE_OIS_10Y</v>
      </c>
      <c r="W45" s="120">
        <f>IF(V45="","",'ON Pricing'!$G45*100)</f>
        <v>1.9870000000028865</v>
      </c>
      <c r="X45" s="120">
        <f t="shared" si="15"/>
        <v>1.9870000000028865</v>
      </c>
      <c r="Y45" s="115" t="str">
        <v>USD_CURVE_STD_10Y</v>
      </c>
      <c r="Z45" s="120">
        <f>IF(Y45="","",'STD Pricing'!$G45*100)</f>
        <v>2.1999999999999886</v>
      </c>
      <c r="AA45" s="120">
        <f t="shared" si="5"/>
        <v>2.1999999999999886</v>
      </c>
      <c r="AC45" s="143">
        <f>IF($C45=" ","",ROUND(ABS(_xll.RtGet(SourceAlias,$J45,BID)-K45),4))</f>
        <v>1E-3</v>
      </c>
      <c r="AD45" s="143">
        <f>IF($C45=" ","",ROUND(ABS(_xll.RtGet(SourceAlias,$J45,ASK)-L45),4))</f>
        <v>1E-3</v>
      </c>
      <c r="AE45" s="143">
        <f>IF($D45=" ","",ROUND(ABS(_xll.RtGet(SourceAlias,$M45,BID)-N45),4))</f>
        <v>1E-3</v>
      </c>
      <c r="AF45" s="143">
        <f>IF($D45=" ","",ROUND(ABS(_xll.RtGet(SourceAlias,$M45,ASK)-O45),4))</f>
        <v>1E-3</v>
      </c>
      <c r="AG45" s="143">
        <f>IF($E45=" ","",ROUND(ABS(_xll.RtGet(SourceAlias,$P45,BID)-Q45),4))</f>
        <v>1E-3</v>
      </c>
      <c r="AH45" s="143">
        <f>IF($E45=" ","",ROUND(ABS(_xll.RtGet(SourceAlias,$P45,ASK)-R45),4))</f>
        <v>1E-3</v>
      </c>
      <c r="AI45" s="143">
        <f>IF($F45=" ","",ROUND(ABS(_xll.RtGet(SourceAlias,$S45,BID)-T45),4))</f>
        <v>1E-3</v>
      </c>
      <c r="AJ45" s="143">
        <f>IF($F45=" ","",ROUND(ABS(_xll.RtGet(SourceAlias,$S45,ASK)-U45),4))</f>
        <v>1E-3</v>
      </c>
      <c r="AK45" s="143">
        <f>IF($G45=" ","",ROUND(ABS(_xll.RtGet(SourceAlias,$V45,BID)-W45),4))</f>
        <v>0</v>
      </c>
      <c r="AL45" s="143">
        <f>IF($G45=" ","",ROUND(ABS(_xll.RtGet(SourceAlias,$V45,ASK)-X45),4))</f>
        <v>0</v>
      </c>
      <c r="AM45" s="143">
        <f>IF($H45=" ","",ROUND(ABS(_xll.RtGet(SourceAlias,$Y45,BID)-Z45),4))</f>
        <v>1E-3</v>
      </c>
      <c r="AN45" s="143">
        <f>IF($H45=" ","",ROUND(ABS(_xll.RtGet(SourceAlias,$Y45,ASK)-AA45),4))</f>
        <v>1E-3</v>
      </c>
    </row>
    <row r="46" spans="1:40" x14ac:dyDescent="0.2">
      <c r="A46" s="192"/>
      <c r="B46" s="49" t="s">
        <v>75</v>
      </c>
      <c r="C46" s="132" t="str">
        <f>IF(Contribute="abcd",IF($E$2&lt;&gt;-1,_xll.RtContribute(SourceAlias,J46,Fields,K46:L46,"SCOPE:SERVER"),_xll.RtContribute(SourceAlias,"DDS_INSERT_S",$E$2:$G$2,J46:L46,"SCOPE:SERVER FTC:ALL")),"stopped")</f>
        <v>stopped</v>
      </c>
      <c r="D46" s="139" t="str">
        <f>IF(Contribute="abcd",IF($E$2&lt;&gt;-1,_xll.RtContribute(SourceAlias,M46,Fields,N46:O46,"SCOPE:SERVER"),_xll.RtContribute(SourceAlias,"DDS_INSERT_S",$E$2:$G$2,M46:O46,"SCOPE:SERVER FTC:ALL")),"stopped")</f>
        <v>stopped</v>
      </c>
      <c r="E46" s="139" t="str">
        <f>IF(Contribute="abcd",IF($E$2&lt;&gt;-1,_xll.RtContribute(SourceAlias,P46,Fields,Q46:R46,"SCOPE:SERVER"),_xll.RtContribute(SourceAlias,"DDS_INSERT_S",$E$2:$G$2,P46:R46,"SCOPE:SERVER FTC:ALL")),"stopped")</f>
        <v>stopped</v>
      </c>
      <c r="F46" s="132" t="str">
        <f>IF(Contribute="abcd",IF($E$2&lt;&gt;-1,_xll.RtContribute(SourceAlias,S46,Fields,T46:U46,"SCOPE:SERVER"),_xll.RtContribute(SourceAlias,"DDS_INSERT_S",$E$2:$G$2,T46:U46,"SCOPE:SERVER FTC:ALL")),"stopped")</f>
        <v>stopped</v>
      </c>
      <c r="G46" s="132" t="str">
        <f>IF(Contribute="abcd",IF($E$2&lt;&gt;-1,_xll.RtContribute(SourceAlias,V46,Fields,W46:X46,"SCOPE:SERVER"),_xll.RtContribute(SourceAlias,"DDS_INSERT_S",$E$2:$G$2,V46:X46,"SCOPE:SERVER FTC:ALL")),"stopped")</f>
        <v>stopped</v>
      </c>
      <c r="H46" s="132" t="str">
        <f>IF(Contribute="abcd",IF($E$2&lt;&gt;-1,_xll.RtContribute(SourceAlias,Y46,Fields,Z46:AA46,"SCOPE:SERVER"),_xll.RtContribute(SourceAlias,"DDS_INSERT_S",$E$2:$G$2,Y46:AA46,"SCOPE:SERVER FTC:ALL")),"stopped")</f>
        <v>stopped</v>
      </c>
      <c r="I46" s="3" t="s">
        <v>46</v>
      </c>
      <c r="J46" s="115" t="str">
        <v>USD_CURVE_1M_11Y</v>
      </c>
      <c r="K46" s="120">
        <f>IF(J46="","",'1M Pricing'!$I46*100)</f>
        <v>2.1669190548978428</v>
      </c>
      <c r="L46" s="120">
        <f t="shared" si="11"/>
        <v>2.1669190548978428</v>
      </c>
      <c r="M46" s="115" t="str">
        <v>USD_CURVE_3M_11Y</v>
      </c>
      <c r="N46" s="120">
        <f>IF(M46="","",'3M Pricing'!$I46*100)</f>
        <v>2.271715565469286</v>
      </c>
      <c r="O46" s="116">
        <f t="shared" si="12"/>
        <v>2.271715565469286</v>
      </c>
      <c r="P46" s="115" t="str">
        <v>USD_CURVE_6M_11Y</v>
      </c>
      <c r="Q46" s="116">
        <f>IF(P46="","",'6M Pricing'!$I46*100)</f>
        <v>2.3644469902858916</v>
      </c>
      <c r="R46" s="116">
        <f t="shared" si="13"/>
        <v>2.3644469902858916</v>
      </c>
      <c r="S46" s="115" t="str">
        <v>USD_CURVE_12M_11Y</v>
      </c>
      <c r="T46" s="116">
        <f>IF(S46="","",'1Y Pricing'!$I46*100)</f>
        <v>2.5123741834345452</v>
      </c>
      <c r="U46" s="116">
        <f t="shared" si="14"/>
        <v>2.5123741834345452</v>
      </c>
      <c r="V46" s="115" t="str">
        <v>USD_CURVE_OIS_11Y</v>
      </c>
      <c r="W46" s="120">
        <f>IF(V46="","",'ON Pricing'!$G46*100)</f>
        <v>2.0577027733054858</v>
      </c>
      <c r="X46" s="120">
        <f t="shared" si="15"/>
        <v>2.0577027733054858</v>
      </c>
      <c r="Y46" s="115" t="str">
        <v>USD_CURVE_STD_11Y</v>
      </c>
      <c r="Z46" s="120">
        <f>IF(Y46="","",'STD Pricing'!$G46*100)</f>
        <v>2.2670398350762015</v>
      </c>
      <c r="AA46" s="120">
        <f t="shared" si="5"/>
        <v>2.2670398350762015</v>
      </c>
      <c r="AC46" s="143">
        <f>IF($C46=" ","",ROUND(ABS(_xll.RtGet(SourceAlias,$J46,BID)-K46),4))</f>
        <v>1.1000000000000001E-3</v>
      </c>
      <c r="AD46" s="143">
        <f>IF($C46=" ","",ROUND(ABS(_xll.RtGet(SourceAlias,$J46,ASK)-L46),4))</f>
        <v>1.1000000000000001E-3</v>
      </c>
      <c r="AE46" s="143">
        <f>IF($D46=" ","",ROUND(ABS(_xll.RtGet(SourceAlias,$M46,BID)-N46),4))</f>
        <v>1.1000000000000001E-3</v>
      </c>
      <c r="AF46" s="143">
        <f>IF($D46=" ","",ROUND(ABS(_xll.RtGet(SourceAlias,$M46,ASK)-O46),4))</f>
        <v>1.1000000000000001E-3</v>
      </c>
      <c r="AG46" s="143">
        <f>IF($E46=" ","",ROUND(ABS(_xll.RtGet(SourceAlias,$P46,BID)-Q46),4))</f>
        <v>1.1000000000000001E-3</v>
      </c>
      <c r="AH46" s="143">
        <f>IF($E46=" ","",ROUND(ABS(_xll.RtGet(SourceAlias,$P46,ASK)-R46),4))</f>
        <v>1.1000000000000001E-3</v>
      </c>
      <c r="AI46" s="143">
        <f>IF($F46=" ","",ROUND(ABS(_xll.RtGet(SourceAlias,$S46,BID)-T46),4))</f>
        <v>1.1000000000000001E-3</v>
      </c>
      <c r="AJ46" s="143">
        <f>IF($F46=" ","",ROUND(ABS(_xll.RtGet(SourceAlias,$S46,ASK)-U46),4))</f>
        <v>1.1000000000000001E-3</v>
      </c>
      <c r="AK46" s="143">
        <f>IF($G46=" ","",ROUND(ABS(_xll.RtGet(SourceAlias,$V46,BID)-W46),4))</f>
        <v>0</v>
      </c>
      <c r="AL46" s="143">
        <f>IF($G46=" ","",ROUND(ABS(_xll.RtGet(SourceAlias,$V46,ASK)-X46),4))</f>
        <v>0</v>
      </c>
      <c r="AM46" s="143">
        <f>IF($H46=" ","",ROUND(ABS(_xll.RtGet(SourceAlias,$Y46,BID)-Z46),4))</f>
        <v>4.7000000000000002E-3</v>
      </c>
      <c r="AN46" s="143">
        <f>IF($H46=" ","",ROUND(ABS(_xll.RtGet(SourceAlias,$Y46,ASK)-AA46),4))</f>
        <v>4.7000000000000002E-3</v>
      </c>
    </row>
    <row r="47" spans="1:40" x14ac:dyDescent="0.2">
      <c r="A47" s="192"/>
      <c r="B47" s="49" t="s">
        <v>29</v>
      </c>
      <c r="C47" s="132" t="str">
        <f>IF(Contribute="abcd",IF($E$2&lt;&gt;-1,_xll.RtContribute(SourceAlias,J47,Fields,K47:L47,"SCOPE:SERVER"),_xll.RtContribute(SourceAlias,"DDS_INSERT_S",$E$2:$G$2,J47:L47,"SCOPE:SERVER FTC:ALL")),"stopped")</f>
        <v>stopped</v>
      </c>
      <c r="D47" s="139" t="str">
        <f>IF(Contribute="abcd",IF($E$2&lt;&gt;-1,_xll.RtContribute(SourceAlias,M47,Fields,N47:O47,"SCOPE:SERVER"),_xll.RtContribute(SourceAlias,"DDS_INSERT_S",$E$2:$G$2,M47:O47,"SCOPE:SERVER FTC:ALL")),"stopped")</f>
        <v>stopped</v>
      </c>
      <c r="E47" s="139" t="str">
        <f>IF(Contribute="abcd",IF($E$2&lt;&gt;-1,_xll.RtContribute(SourceAlias,P47,Fields,Q47:R47,"SCOPE:SERVER"),_xll.RtContribute(SourceAlias,"DDS_INSERT_S",$E$2:$G$2,P47:R47,"SCOPE:SERVER FTC:ALL")),"stopped")</f>
        <v>stopped</v>
      </c>
      <c r="F47" s="132" t="str">
        <f>IF(Contribute="abcd",IF($E$2&lt;&gt;-1,_xll.RtContribute(SourceAlias,S47,Fields,T47:U47,"SCOPE:SERVER"),_xll.RtContribute(SourceAlias,"DDS_INSERT_S",$E$2:$G$2,T47:U47,"SCOPE:SERVER FTC:ALL")),"stopped")</f>
        <v>stopped</v>
      </c>
      <c r="G47" s="132" t="str">
        <f>IF(Contribute="abcd",IF($E$2&lt;&gt;-1,_xll.RtContribute(SourceAlias,V47,Fields,W47:X47,"SCOPE:SERVER"),_xll.RtContribute(SourceAlias,"DDS_INSERT_S",$E$2:$G$2,V47:X47,"SCOPE:SERVER FTC:ALL")),"stopped")</f>
        <v>stopped</v>
      </c>
      <c r="H47" s="132" t="str">
        <f>IF(Contribute="abcd",IF($E$2&lt;&gt;-1,_xll.RtContribute(SourceAlias,Y47,Fields,Z47:AA47,"SCOPE:SERVER"),_xll.RtContribute(SourceAlias,"DDS_INSERT_S",$E$2:$G$2,Y47:AA47,"SCOPE:SERVER FTC:ALL")),"stopped")</f>
        <v>stopped</v>
      </c>
      <c r="I47" s="3" t="s">
        <v>46</v>
      </c>
      <c r="J47" s="115" t="str">
        <v>USD_CURVE_1M_12Y</v>
      </c>
      <c r="K47" s="120">
        <f>IF(J47="","",'1M Pricing'!$I47*100)</f>
        <v>2.2299936993784528</v>
      </c>
      <c r="L47" s="120">
        <f t="shared" si="11"/>
        <v>2.2299936993784528</v>
      </c>
      <c r="M47" s="115" t="str">
        <v>USD_CURVE_3M_12Y</v>
      </c>
      <c r="N47" s="120">
        <f>IF(M47="","",'3M Pricing'!$I47*100)</f>
        <v>2.3330000000010136</v>
      </c>
      <c r="O47" s="116">
        <f t="shared" si="12"/>
        <v>2.3330000000010136</v>
      </c>
      <c r="P47" s="115" t="str">
        <v>USD_CURVE_6M_12Y</v>
      </c>
      <c r="Q47" s="116">
        <f>IF(P47="","",'6M Pricing'!$I47*100)</f>
        <v>2.4277714962700911</v>
      </c>
      <c r="R47" s="116">
        <f t="shared" si="13"/>
        <v>2.4277714962700911</v>
      </c>
      <c r="S47" s="115" t="str">
        <v>USD_CURVE_12M_12Y</v>
      </c>
      <c r="T47" s="116">
        <f>IF(S47="","",'1Y Pricing'!$I47*100)</f>
        <v>2.5749697777090974</v>
      </c>
      <c r="U47" s="116">
        <f t="shared" si="14"/>
        <v>2.5749697777090974</v>
      </c>
      <c r="V47" s="115" t="str">
        <v>USD_CURVE_OIS_12Y</v>
      </c>
      <c r="W47" s="120">
        <f>IF(V47="","",'ON Pricing'!$G47*100)</f>
        <v>2.1179999999935228</v>
      </c>
      <c r="X47" s="120">
        <f t="shared" si="15"/>
        <v>2.1179999999935228</v>
      </c>
      <c r="Y47" s="115" t="str">
        <v>USD_CURVE_STD_12Y</v>
      </c>
      <c r="Z47" s="120">
        <f>IF(Y47="","",'STD Pricing'!$G47*100)</f>
        <v>2.3329999999999802</v>
      </c>
      <c r="AA47" s="120">
        <f t="shared" si="5"/>
        <v>2.3329999999999802</v>
      </c>
      <c r="AC47" s="143">
        <f>IF($C47=" ","",ROUND(ABS(_xll.RtGet(SourceAlias,$J47,BID)-K47),4))</f>
        <v>1E-3</v>
      </c>
      <c r="AD47" s="143">
        <f>IF($C47=" ","",ROUND(ABS(_xll.RtGet(SourceAlias,$J47,ASK)-L47),4))</f>
        <v>1E-3</v>
      </c>
      <c r="AE47" s="143">
        <f>IF($D47=" ","",ROUND(ABS(_xll.RtGet(SourceAlias,$M47,BID)-N47),4))</f>
        <v>1E-3</v>
      </c>
      <c r="AF47" s="143">
        <f>IF($D47=" ","",ROUND(ABS(_xll.RtGet(SourceAlias,$M47,ASK)-O47),4))</f>
        <v>1E-3</v>
      </c>
      <c r="AG47" s="143">
        <f>IF($E47=" ","",ROUND(ABS(_xll.RtGet(SourceAlias,$P47,BID)-Q47),4))</f>
        <v>1E-3</v>
      </c>
      <c r="AH47" s="143">
        <f>IF($E47=" ","",ROUND(ABS(_xll.RtGet(SourceAlias,$P47,ASK)-R47),4))</f>
        <v>1E-3</v>
      </c>
      <c r="AI47" s="143">
        <f>IF($F47=" ","",ROUND(ABS(_xll.RtGet(SourceAlias,$S47,BID)-T47),4))</f>
        <v>1E-3</v>
      </c>
      <c r="AJ47" s="143">
        <f>IF($F47=" ","",ROUND(ABS(_xll.RtGet(SourceAlias,$S47,ASK)-U47),4))</f>
        <v>1E-3</v>
      </c>
      <c r="AK47" s="143">
        <f>IF($G47=" ","",ROUND(ABS(_xll.RtGet(SourceAlias,$V47,BID)-W47),4))</f>
        <v>0</v>
      </c>
      <c r="AL47" s="143">
        <f>IF($G47=" ","",ROUND(ABS(_xll.RtGet(SourceAlias,$V47,ASK)-X47),4))</f>
        <v>0</v>
      </c>
      <c r="AM47" s="143">
        <f>IF($H47=" ","",ROUND(ABS(_xll.RtGet(SourceAlias,$Y47,BID)-Z47),4))</f>
        <v>1E-3</v>
      </c>
      <c r="AN47" s="143">
        <f>IF($H47=" ","",ROUND(ABS(_xll.RtGet(SourceAlias,$Y47,ASK)-AA47),4))</f>
        <v>1E-3</v>
      </c>
    </row>
    <row r="48" spans="1:40" x14ac:dyDescent="0.2">
      <c r="A48" s="192"/>
      <c r="B48" s="49" t="s">
        <v>76</v>
      </c>
      <c r="C48" s="132" t="str">
        <f>IF(Contribute="abcd",IF($E$2&lt;&gt;-1,_xll.RtContribute(SourceAlias,J48,Fields,K48:L48,"SCOPE:SERVER"),_xll.RtContribute(SourceAlias,"DDS_INSERT_S",$E$2:$G$2,J48:L48,"SCOPE:SERVER FTC:ALL")),"stopped")</f>
        <v>stopped</v>
      </c>
      <c r="D48" s="139" t="str">
        <f>IF(Contribute="abcd",IF($E$2&lt;&gt;-1,_xll.RtContribute(SourceAlias,M48,Fields,N48:O48,"SCOPE:SERVER"),_xll.RtContribute(SourceAlias,"DDS_INSERT_S",$E$2:$G$2,M48:O48,"SCOPE:SERVER FTC:ALL")),"stopped")</f>
        <v>stopped</v>
      </c>
      <c r="E48" s="139" t="str">
        <f>IF(Contribute="abcd",IF($E$2&lt;&gt;-1,_xll.RtContribute(SourceAlias,P48,Fields,Q48:R48,"SCOPE:SERVER"),_xll.RtContribute(SourceAlias,"DDS_INSERT_S",$E$2:$G$2,P48:R48,"SCOPE:SERVER FTC:ALL")),"stopped")</f>
        <v>stopped</v>
      </c>
      <c r="F48" s="132" t="str">
        <f>IF(Contribute="abcd",IF($E$2&lt;&gt;-1,_xll.RtContribute(SourceAlias,S48,Fields,T48:U48,"SCOPE:SERVER"),_xll.RtContribute(SourceAlias,"DDS_INSERT_S",$E$2:$G$2,T48:U48,"SCOPE:SERVER FTC:ALL")),"stopped")</f>
        <v>stopped</v>
      </c>
      <c r="G48" s="132" t="str">
        <f>IF(Contribute="abcd",IF($E$2&lt;&gt;-1,_xll.RtContribute(SourceAlias,V48,Fields,W48:X48,"SCOPE:SERVER"),_xll.RtContribute(SourceAlias,"DDS_INSERT_S",$E$2:$G$2,V48:X48,"SCOPE:SERVER FTC:ALL")),"stopped")</f>
        <v>stopped</v>
      </c>
      <c r="H48" s="132" t="str">
        <f>IF(Contribute="abcd",IF($E$2&lt;&gt;-1,_xll.RtContribute(SourceAlias,Y48,Fields,Z48:AA48,"SCOPE:SERVER"),_xll.RtContribute(SourceAlias,"DDS_INSERT_S",$E$2:$G$2,Y48:AA48,"SCOPE:SERVER FTC:ALL")),"stopped")</f>
        <v>stopped</v>
      </c>
      <c r="I48" s="3" t="s">
        <v>46</v>
      </c>
      <c r="J48" s="115" t="str">
        <v>USD_CURVE_1M_13Y</v>
      </c>
      <c r="K48" s="120">
        <f>IF(J48="","",'1M Pricing'!$I48*100)</f>
        <v>2.2829710874834177</v>
      </c>
      <c r="L48" s="120">
        <f t="shared" si="11"/>
        <v>2.2829710874834177</v>
      </c>
      <c r="M48" s="115" t="str">
        <v>USD_CURVE_3M_13Y</v>
      </c>
      <c r="N48" s="120">
        <f>IF(M48="","",'3M Pricing'!$I48*100)</f>
        <v>2.3844460941340198</v>
      </c>
      <c r="O48" s="116">
        <f t="shared" si="12"/>
        <v>2.3844460941340198</v>
      </c>
      <c r="P48" s="115" t="str">
        <v>USD_CURVE_6M_13Y</v>
      </c>
      <c r="Q48" s="116">
        <f>IF(P48="","",'6M Pricing'!$I48*100)</f>
        <v>2.4809347096117271</v>
      </c>
      <c r="R48" s="116">
        <f t="shared" si="13"/>
        <v>2.4809347096117271</v>
      </c>
      <c r="S48" s="115" t="str">
        <v>USD_CURVE_12M_13Y</v>
      </c>
      <c r="T48" s="116">
        <f>IF(S48="","",'1Y Pricing'!$I48*100)</f>
        <v>2.628333809889178</v>
      </c>
      <c r="U48" s="116">
        <f t="shared" si="14"/>
        <v>2.628333809889178</v>
      </c>
      <c r="V48" s="115" t="str">
        <v>USD_CURVE_OIS_13Y</v>
      </c>
      <c r="W48" s="120">
        <f>IF(V48="","",'ON Pricing'!$G48*100)</f>
        <v>2.1698543914417221</v>
      </c>
      <c r="X48" s="120">
        <f t="shared" si="15"/>
        <v>2.1698543914417221</v>
      </c>
      <c r="Y48" s="115" t="str">
        <v>USD_CURVE_STD_13Y</v>
      </c>
      <c r="Z48" s="120">
        <f>IF(Y48="","",'STD Pricing'!$G48*100)</f>
        <v>2.3776697386526999</v>
      </c>
      <c r="AA48" s="120">
        <f t="shared" si="5"/>
        <v>2.3776697386526999</v>
      </c>
      <c r="AC48" s="143">
        <f>IF($C48=" ","",ROUND(ABS(_xll.RtGet(SourceAlias,$J48,BID)-K48),4))</f>
        <v>6.9999999999999999E-4</v>
      </c>
      <c r="AD48" s="143">
        <f>IF($C48=" ","",ROUND(ABS(_xll.RtGet(SourceAlias,$J48,ASK)-L48),4))</f>
        <v>6.9999999999999999E-4</v>
      </c>
      <c r="AE48" s="143">
        <f>IF($D48=" ","",ROUND(ABS(_xll.RtGet(SourceAlias,$M48,BID)-N48),4))</f>
        <v>6.9999999999999999E-4</v>
      </c>
      <c r="AF48" s="143">
        <f>IF($D48=" ","",ROUND(ABS(_xll.RtGet(SourceAlias,$M48,ASK)-O48),4))</f>
        <v>6.9999999999999999E-4</v>
      </c>
      <c r="AG48" s="143">
        <f>IF($E48=" ","",ROUND(ABS(_xll.RtGet(SourceAlias,$P48,BID)-Q48),4))</f>
        <v>6.9999999999999999E-4</v>
      </c>
      <c r="AH48" s="143">
        <f>IF($E48=" ","",ROUND(ABS(_xll.RtGet(SourceAlias,$P48,ASK)-R48),4))</f>
        <v>6.9999999999999999E-4</v>
      </c>
      <c r="AI48" s="143">
        <f>IF($F48=" ","",ROUND(ABS(_xll.RtGet(SourceAlias,$S48,BID)-T48),4))</f>
        <v>6.9999999999999999E-4</v>
      </c>
      <c r="AJ48" s="143">
        <f>IF($F48=" ","",ROUND(ABS(_xll.RtGet(SourceAlias,$S48,ASK)-U48),4))</f>
        <v>6.9999999999999999E-4</v>
      </c>
      <c r="AK48" s="143">
        <f>IF($G48=" ","",ROUND(ABS(_xll.RtGet(SourceAlias,$V48,BID)-W48),4))</f>
        <v>0</v>
      </c>
      <c r="AL48" s="143">
        <f>IF($G48=" ","",ROUND(ABS(_xll.RtGet(SourceAlias,$V48,ASK)-X48),4))</f>
        <v>0</v>
      </c>
      <c r="AM48" s="143">
        <f>IF($H48=" ","",ROUND(ABS(_xll.RtGet(SourceAlias,$Y48,BID)-Z48),4))</f>
        <v>6.7999999999999996E-3</v>
      </c>
      <c r="AN48" s="143">
        <f>IF($H48=" ","",ROUND(ABS(_xll.RtGet(SourceAlias,$Y48,ASK)-AA48),4))</f>
        <v>6.7999999999999996E-3</v>
      </c>
    </row>
    <row r="49" spans="1:40" x14ac:dyDescent="0.2">
      <c r="A49" s="192"/>
      <c r="B49" s="49" t="s">
        <v>77</v>
      </c>
      <c r="C49" s="132" t="str">
        <f>IF(Contribute="abcd",IF($E$2&lt;&gt;-1,_xll.RtContribute(SourceAlias,J49,Fields,K49:L49,"SCOPE:SERVER"),_xll.RtContribute(SourceAlias,"DDS_INSERT_S",$E$2:$G$2,J49:L49,"SCOPE:SERVER FTC:ALL")),"stopped")</f>
        <v>stopped</v>
      </c>
      <c r="D49" s="139" t="str">
        <f>IF(Contribute="abcd",IF($E$2&lt;&gt;-1,_xll.RtContribute(SourceAlias,M49,Fields,N49:O49,"SCOPE:SERVER"),_xll.RtContribute(SourceAlias,"DDS_INSERT_S",$E$2:$G$2,M49:O49,"SCOPE:SERVER FTC:ALL")),"stopped")</f>
        <v>stopped</v>
      </c>
      <c r="E49" s="139" t="str">
        <f>IF(Contribute="abcd",IF($E$2&lt;&gt;-1,_xll.RtContribute(SourceAlias,P49,Fields,Q49:R49,"SCOPE:SERVER"),_xll.RtContribute(SourceAlias,"DDS_INSERT_S",$E$2:$G$2,P49:R49,"SCOPE:SERVER FTC:ALL")),"stopped")</f>
        <v>stopped</v>
      </c>
      <c r="F49" s="132" t="str">
        <f>IF(Contribute="abcd",IF($E$2&lt;&gt;-1,_xll.RtContribute(SourceAlias,S49,Fields,T49:U49,"SCOPE:SERVER"),_xll.RtContribute(SourceAlias,"DDS_INSERT_S",$E$2:$G$2,T49:U49,"SCOPE:SERVER FTC:ALL")),"stopped")</f>
        <v>stopped</v>
      </c>
      <c r="G49" s="132" t="str">
        <f>IF(Contribute="abcd",IF($E$2&lt;&gt;-1,_xll.RtContribute(SourceAlias,V49,Fields,W49:X49,"SCOPE:SERVER"),_xll.RtContribute(SourceAlias,"DDS_INSERT_S",$E$2:$G$2,V49:X49,"SCOPE:SERVER FTC:ALL")),"stopped")</f>
        <v>stopped</v>
      </c>
      <c r="H49" s="132" t="str">
        <f>IF(Contribute="abcd",IF($E$2&lt;&gt;-1,_xll.RtContribute(SourceAlias,Y49,Fields,Z49:AA49,"SCOPE:SERVER"),_xll.RtContribute(SourceAlias,"DDS_INSERT_S",$E$2:$G$2,Y49:AA49,"SCOPE:SERVER FTC:ALL")),"stopped")</f>
        <v>stopped</v>
      </c>
      <c r="I49" s="3" t="s">
        <v>46</v>
      </c>
      <c r="J49" s="115" t="str">
        <v>USD_CURVE_1M_14Y</v>
      </c>
      <c r="K49" s="120">
        <f>IF(J49="","",'1M Pricing'!$I49*100)</f>
        <v>2.3268968788337974</v>
      </c>
      <c r="L49" s="120">
        <f t="shared" si="11"/>
        <v>2.3268968788337974</v>
      </c>
      <c r="M49" s="115" t="str">
        <v>USD_CURVE_3M_14Y</v>
      </c>
      <c r="N49" s="120">
        <f>IF(M49="","",'3M Pricing'!$I49*100)</f>
        <v>2.4273178512922677</v>
      </c>
      <c r="O49" s="116">
        <f t="shared" si="12"/>
        <v>2.4273178512922677</v>
      </c>
      <c r="P49" s="115" t="str">
        <v>USD_CURVE_6M_14Y</v>
      </c>
      <c r="Q49" s="116">
        <f>IF(P49="","",'6M Pricing'!$I49*100)</f>
        <v>2.5251898762230298</v>
      </c>
      <c r="R49" s="116">
        <f t="shared" si="13"/>
        <v>2.5251898762230298</v>
      </c>
      <c r="S49" s="115" t="str">
        <v>USD_CURVE_12M_14Y</v>
      </c>
      <c r="T49" s="116">
        <f>IF(S49="","",'1Y Pricing'!$I49*100)</f>
        <v>2.6732394598222746</v>
      </c>
      <c r="U49" s="116">
        <f t="shared" si="14"/>
        <v>2.6732394598222746</v>
      </c>
      <c r="V49" s="115" t="str">
        <v>USD_CURVE_OIS_14Y</v>
      </c>
      <c r="W49" s="120">
        <f>IF(V49="","",'ON Pricing'!$G49*100)</f>
        <v>2.2137161857748286</v>
      </c>
      <c r="X49" s="120">
        <f t="shared" si="15"/>
        <v>2.2137161857748286</v>
      </c>
      <c r="Y49" s="115" t="str">
        <v>USD_CURVE_STD_14Y</v>
      </c>
      <c r="Z49" s="120">
        <f>IF(Y49="","",'STD Pricing'!$G49*100)</f>
        <v>2.4211566097949708</v>
      </c>
      <c r="AA49" s="120">
        <f t="shared" si="5"/>
        <v>2.4211566097949708</v>
      </c>
      <c r="AC49" s="143">
        <f>IF($C49=" ","",ROUND(ABS(_xll.RtGet(SourceAlias,$J49,BID)-K49),4))</f>
        <v>4.0000000000000002E-4</v>
      </c>
      <c r="AD49" s="143">
        <f>IF($C49=" ","",ROUND(ABS(_xll.RtGet(SourceAlias,$J49,ASK)-L49),4))</f>
        <v>4.0000000000000002E-4</v>
      </c>
      <c r="AE49" s="143">
        <f>IF($D49=" ","",ROUND(ABS(_xll.RtGet(SourceAlias,$M49,BID)-N49),4))</f>
        <v>2.9999999999999997E-4</v>
      </c>
      <c r="AF49" s="143">
        <f>IF($D49=" ","",ROUND(ABS(_xll.RtGet(SourceAlias,$M49,ASK)-O49),4))</f>
        <v>2.9999999999999997E-4</v>
      </c>
      <c r="AG49" s="143">
        <f>IF($E49=" ","",ROUND(ABS(_xll.RtGet(SourceAlias,$P49,BID)-Q49),4))</f>
        <v>2.9999999999999997E-4</v>
      </c>
      <c r="AH49" s="143">
        <f>IF($E49=" ","",ROUND(ABS(_xll.RtGet(SourceAlias,$P49,ASK)-R49),4))</f>
        <v>2.9999999999999997E-4</v>
      </c>
      <c r="AI49" s="143">
        <f>IF($F49=" ","",ROUND(ABS(_xll.RtGet(SourceAlias,$S49,BID)-T49),4))</f>
        <v>2.9999999999999997E-4</v>
      </c>
      <c r="AJ49" s="143">
        <f>IF($F49=" ","",ROUND(ABS(_xll.RtGet(SourceAlias,$S49,ASK)-U49),4))</f>
        <v>2.9999999999999997E-4</v>
      </c>
      <c r="AK49" s="143">
        <f>IF($G49=" ","",ROUND(ABS(_xll.RtGet(SourceAlias,$V49,BID)-W49),4))</f>
        <v>0</v>
      </c>
      <c r="AL49" s="143">
        <f>IF($G49=" ","",ROUND(ABS(_xll.RtGet(SourceAlias,$V49,ASK)-X49),4))</f>
        <v>0</v>
      </c>
      <c r="AM49" s="143">
        <f>IF($H49=" ","",ROUND(ABS(_xll.RtGet(SourceAlias,$Y49,BID)-Z49),4))</f>
        <v>6.1999999999999998E-3</v>
      </c>
      <c r="AN49" s="143">
        <f>IF($H49=" ","",ROUND(ABS(_xll.RtGet(SourceAlias,$Y49,ASK)-AA49),4))</f>
        <v>6.1999999999999998E-3</v>
      </c>
    </row>
    <row r="50" spans="1:40" x14ac:dyDescent="0.2">
      <c r="A50" s="192"/>
      <c r="B50" s="49" t="s">
        <v>30</v>
      </c>
      <c r="C50" s="132" t="str">
        <f>IF(Contribute="abcd",IF($E$2&lt;&gt;-1,_xll.RtContribute(SourceAlias,J50,Fields,K50:L50,"SCOPE:SERVER"),_xll.RtContribute(SourceAlias,"DDS_INSERT_S",$E$2:$G$2,J50:L50,"SCOPE:SERVER FTC:ALL")),"stopped")</f>
        <v>stopped</v>
      </c>
      <c r="D50" s="139" t="str">
        <f>IF(Contribute="abcd",IF($E$2&lt;&gt;-1,_xll.RtContribute(SourceAlias,M50,Fields,N50:O50,"SCOPE:SERVER"),_xll.RtContribute(SourceAlias,"DDS_INSERT_S",$E$2:$G$2,M50:O50,"SCOPE:SERVER FTC:ALL")),"stopped")</f>
        <v>stopped</v>
      </c>
      <c r="E50" s="139" t="str">
        <f>IF(Contribute="abcd",IF($E$2&lt;&gt;-1,_xll.RtContribute(SourceAlias,P50,Fields,Q50:R50,"SCOPE:SERVER"),_xll.RtContribute(SourceAlias,"DDS_INSERT_S",$E$2:$G$2,P50:R50,"SCOPE:SERVER FTC:ALL")),"stopped")</f>
        <v>stopped</v>
      </c>
      <c r="F50" s="132" t="str">
        <f>IF(Contribute="abcd",IF($E$2&lt;&gt;-1,_xll.RtContribute(SourceAlias,S50,Fields,T50:U50,"SCOPE:SERVER"),_xll.RtContribute(SourceAlias,"DDS_INSERT_S",$E$2:$G$2,T50:U50,"SCOPE:SERVER FTC:ALL")),"stopped")</f>
        <v>stopped</v>
      </c>
      <c r="G50" s="132" t="str">
        <f>IF(Contribute="abcd",IF($E$2&lt;&gt;-1,_xll.RtContribute(SourceAlias,V50,Fields,W50:X50,"SCOPE:SERVER"),_xll.RtContribute(SourceAlias,"DDS_INSERT_S",$E$2:$G$2,V50:X50,"SCOPE:SERVER FTC:ALL")),"stopped")</f>
        <v>stopped</v>
      </c>
      <c r="H50" s="132" t="str">
        <f>IF(Contribute="abcd",IF($E$2&lt;&gt;-1,_xll.RtContribute(SourceAlias,Y50,Fields,Z50:AA50,"SCOPE:SERVER"),_xll.RtContribute(SourceAlias,"DDS_INSERT_S",$E$2:$G$2,Y50:AA50,"SCOPE:SERVER FTC:ALL")),"stopped")</f>
        <v>stopped</v>
      </c>
      <c r="I50" s="3" t="s">
        <v>46</v>
      </c>
      <c r="J50" s="115" t="str">
        <v>USD_CURVE_1M_15Y</v>
      </c>
      <c r="K50" s="120">
        <f>IF(J50="","",'1M Pricing'!$I50*100)</f>
        <v>2.3639639390532565</v>
      </c>
      <c r="L50" s="120">
        <f t="shared" si="11"/>
        <v>2.3639639390532565</v>
      </c>
      <c r="M50" s="115" t="str">
        <v>USD_CURVE_3M_15Y</v>
      </c>
      <c r="N50" s="120">
        <f>IF(M50="","",'3M Pricing'!$I50*100)</f>
        <v>2.4639999999966564</v>
      </c>
      <c r="O50" s="116">
        <f t="shared" si="12"/>
        <v>2.4639999999966564</v>
      </c>
      <c r="P50" s="115" t="str">
        <v>USD_CURVE_6M_15Y</v>
      </c>
      <c r="Q50" s="116">
        <f>IF(P50="","",'6M Pricing'!$I50*100)</f>
        <v>2.5628503049778852</v>
      </c>
      <c r="R50" s="116">
        <f t="shared" si="13"/>
        <v>2.5628503049778852</v>
      </c>
      <c r="S50" s="115" t="str">
        <v>USD_CURVE_12M_15Y</v>
      </c>
      <c r="T50" s="116">
        <f>IF(S50="","",'1Y Pricing'!$I50*100)</f>
        <v>2.7111257624423288</v>
      </c>
      <c r="U50" s="116">
        <f t="shared" si="14"/>
        <v>2.7111257624423288</v>
      </c>
      <c r="V50" s="115" t="str">
        <v>USD_CURVE_OIS_15Y</v>
      </c>
      <c r="W50" s="120">
        <f>IF(V50="","",'ON Pricing'!$G50*100)</f>
        <v>2.2510000000044714</v>
      </c>
      <c r="X50" s="120">
        <f t="shared" si="15"/>
        <v>2.2510000000044714</v>
      </c>
      <c r="Y50" s="115" t="str">
        <v>USD_CURVE_STD_15Y</v>
      </c>
      <c r="Z50" s="120">
        <f>IF(Y50="","",'STD Pricing'!$G50*100)</f>
        <v>2.4639999999999991</v>
      </c>
      <c r="AA50" s="120">
        <f t="shared" si="5"/>
        <v>2.4639999999999991</v>
      </c>
      <c r="AC50" s="143">
        <f>IF($C50=" ","",ROUND(ABS(_xll.RtGet(SourceAlias,$J50,BID)-K50),4))</f>
        <v>0</v>
      </c>
      <c r="AD50" s="143">
        <f>IF($C50=" ","",ROUND(ABS(_xll.RtGet(SourceAlias,$J50,ASK)-L50),4))</f>
        <v>0</v>
      </c>
      <c r="AE50" s="143">
        <f>IF($D50=" ","",ROUND(ABS(_xll.RtGet(SourceAlias,$M50,BID)-N50),4))</f>
        <v>0</v>
      </c>
      <c r="AF50" s="143">
        <f>IF($D50=" ","",ROUND(ABS(_xll.RtGet(SourceAlias,$M50,ASK)-O50),4))</f>
        <v>0</v>
      </c>
      <c r="AG50" s="143">
        <f>IF($E50=" ","",ROUND(ABS(_xll.RtGet(SourceAlias,$P50,BID)-Q50),4))</f>
        <v>0</v>
      </c>
      <c r="AH50" s="143">
        <f>IF($E50=" ","",ROUND(ABS(_xll.RtGet(SourceAlias,$P50,ASK)-R50),4))</f>
        <v>0</v>
      </c>
      <c r="AI50" s="143">
        <f>IF($F50=" ","",ROUND(ABS(_xll.RtGet(SourceAlias,$S50,BID)-T50),4))</f>
        <v>0</v>
      </c>
      <c r="AJ50" s="143">
        <f>IF($F50=" ","",ROUND(ABS(_xll.RtGet(SourceAlias,$S50,ASK)-U50),4))</f>
        <v>0</v>
      </c>
      <c r="AK50" s="143">
        <f>IF($G50=" ","",ROUND(ABS(_xll.RtGet(SourceAlias,$V50,BID)-W50),4))</f>
        <v>0</v>
      </c>
      <c r="AL50" s="143">
        <f>IF($G50=" ","",ROUND(ABS(_xll.RtGet(SourceAlias,$V50,ASK)-X50),4))</f>
        <v>0</v>
      </c>
      <c r="AM50" s="143">
        <f>IF($H50=" ","",ROUND(ABS(_xll.RtGet(SourceAlias,$Y50,BID)-Z50),4))</f>
        <v>0</v>
      </c>
      <c r="AN50" s="143">
        <f>IF($H50=" ","",ROUND(ABS(_xll.RtGet(SourceAlias,$Y50,ASK)-AA50),4))</f>
        <v>0</v>
      </c>
    </row>
    <row r="51" spans="1:40" x14ac:dyDescent="0.2">
      <c r="A51" s="192"/>
      <c r="B51" s="49" t="s">
        <v>78</v>
      </c>
      <c r="C51" s="132" t="str">
        <f>IF(Contribute="abcd",IF($E$2&lt;&gt;-1,_xll.RtContribute(SourceAlias,J51,Fields,K51:L51,"SCOPE:SERVER"),_xll.RtContribute(SourceAlias,"DDS_INSERT_S",$E$2:$G$2,J51:L51,"SCOPE:SERVER FTC:ALL")),"stopped")</f>
        <v>stopped</v>
      </c>
      <c r="D51" s="139" t="str">
        <f>IF(Contribute="abcd",IF($E$2&lt;&gt;-1,_xll.RtContribute(SourceAlias,M51,Fields,N51:O51,"SCOPE:SERVER"),_xll.RtContribute(SourceAlias,"DDS_INSERT_S",$E$2:$G$2,M51:O51,"SCOPE:SERVER FTC:ALL")),"stopped")</f>
        <v>stopped</v>
      </c>
      <c r="E51" s="139" t="str">
        <f>IF(Contribute="abcd",IF($E$2&lt;&gt;-1,_xll.RtContribute(SourceAlias,P51,Fields,Q51:R51,"SCOPE:SERVER"),_xll.RtContribute(SourceAlias,"DDS_INSERT_S",$E$2:$G$2,P51:R51,"SCOPE:SERVER FTC:ALL")),"stopped")</f>
        <v>stopped</v>
      </c>
      <c r="F51" s="132" t="str">
        <f>IF(Contribute="abcd",IF($E$2&lt;&gt;-1,_xll.RtContribute(SourceAlias,S51,Fields,T51:U51,"SCOPE:SERVER"),_xll.RtContribute(SourceAlias,"DDS_INSERT_S",$E$2:$G$2,T51:U51,"SCOPE:SERVER FTC:ALL")),"stopped")</f>
        <v>stopped</v>
      </c>
      <c r="G51" s="132" t="str">
        <f>IF(Contribute="abcd",IF($E$2&lt;&gt;-1,_xll.RtContribute(SourceAlias,V51,Fields,W51:X51,"SCOPE:SERVER"),_xll.RtContribute(SourceAlias,"DDS_INSERT_S",$E$2:$G$2,V51:X51,"SCOPE:SERVER FTC:ALL")),"stopped")</f>
        <v>stopped</v>
      </c>
      <c r="H51" s="132" t="str">
        <f>IF(Contribute="abcd",IF($E$2&lt;&gt;-1,_xll.RtContribute(SourceAlias,Y51,Fields,Z51:AA51,"SCOPE:SERVER"),_xll.RtContribute(SourceAlias,"DDS_INSERT_S",$E$2:$G$2,Y51:AA51,"SCOPE:SERVER FTC:ALL")),"stopped")</f>
        <v>stopped</v>
      </c>
      <c r="I51" s="3" t="s">
        <v>46</v>
      </c>
      <c r="J51" s="115" t="str">
        <v>USD_CURVE_1M_16Y</v>
      </c>
      <c r="K51" s="120">
        <f>IF(J51="","",'1M Pricing'!$I51*100)</f>
        <v>2.3952754354463068</v>
      </c>
      <c r="L51" s="120">
        <f t="shared" si="11"/>
        <v>2.3952754354463068</v>
      </c>
      <c r="M51" s="115" t="str">
        <v>USD_CURVE_3M_16Y</v>
      </c>
      <c r="N51" s="120">
        <f>IF(M51="","",'3M Pricing'!$I51*100)</f>
        <v>2.4956622412338292</v>
      </c>
      <c r="O51" s="116">
        <f t="shared" si="12"/>
        <v>2.4956622412338292</v>
      </c>
      <c r="P51" s="115" t="str">
        <v>USD_CURVE_6M_16Y</v>
      </c>
      <c r="Q51" s="116">
        <f>IF(P51="","",'6M Pricing'!$I51*100)</f>
        <v>2.5950580359742674</v>
      </c>
      <c r="R51" s="116">
        <f t="shared" si="13"/>
        <v>2.5950580359742674</v>
      </c>
      <c r="S51" s="115" t="str">
        <v>USD_CURVE_12M_16Y</v>
      </c>
      <c r="T51" s="116">
        <f>IF(S51="","",'1Y Pricing'!$I51*100)</f>
        <v>2.7422737555664769</v>
      </c>
      <c r="U51" s="116">
        <f t="shared" si="14"/>
        <v>2.7422737555664769</v>
      </c>
      <c r="V51" s="115" t="str">
        <v>USD_CURVE_OIS_16Y</v>
      </c>
      <c r="W51" s="120">
        <f>IF(V51="","",'ON Pricing'!$G51*100)</f>
        <v>2.282355630959084</v>
      </c>
      <c r="X51" s="120">
        <f t="shared" si="15"/>
        <v>2.282355630959084</v>
      </c>
      <c r="Y51" s="115" t="str">
        <v>USD_CURVE_STD_16Y</v>
      </c>
      <c r="Z51" s="120">
        <f>IF(Y51="","",'STD Pricing'!$G51*100)</f>
        <v>2.489207521852002</v>
      </c>
      <c r="AA51" s="120">
        <f t="shared" si="5"/>
        <v>2.489207521852002</v>
      </c>
      <c r="AC51" s="143">
        <f>IF($C51=" ","",ROUND(ABS(_xll.RtGet(SourceAlias,$J51,BID)-K51),4))</f>
        <v>2.0000000000000001E-4</v>
      </c>
      <c r="AD51" s="143">
        <f>IF($C51=" ","",ROUND(ABS(_xll.RtGet(SourceAlias,$J51,ASK)-L51),4))</f>
        <v>2.0000000000000001E-4</v>
      </c>
      <c r="AE51" s="143">
        <f>IF($D51=" ","",ROUND(ABS(_xll.RtGet(SourceAlias,$M51,BID)-N51),4))</f>
        <v>2.0000000000000001E-4</v>
      </c>
      <c r="AF51" s="143">
        <f>IF($D51=" ","",ROUND(ABS(_xll.RtGet(SourceAlias,$M51,ASK)-O51),4))</f>
        <v>2.0000000000000001E-4</v>
      </c>
      <c r="AG51" s="143">
        <f>IF($E51=" ","",ROUND(ABS(_xll.RtGet(SourceAlias,$P51,BID)-Q51),4))</f>
        <v>2.0000000000000001E-4</v>
      </c>
      <c r="AH51" s="143">
        <f>IF($E51=" ","",ROUND(ABS(_xll.RtGet(SourceAlias,$P51,ASK)-R51),4))</f>
        <v>2.0000000000000001E-4</v>
      </c>
      <c r="AI51" s="143">
        <f>IF($F51=" ","",ROUND(ABS(_xll.RtGet(SourceAlias,$S51,BID)-T51),4))</f>
        <v>2.0000000000000001E-4</v>
      </c>
      <c r="AJ51" s="143">
        <f>IF($F51=" ","",ROUND(ABS(_xll.RtGet(SourceAlias,$S51,ASK)-U51),4))</f>
        <v>2.0000000000000001E-4</v>
      </c>
      <c r="AK51" s="143">
        <f>IF($G51=" ","",ROUND(ABS(_xll.RtGet(SourceAlias,$V51,BID)-W51),4))</f>
        <v>0</v>
      </c>
      <c r="AL51" s="143">
        <f>IF($G51=" ","",ROUND(ABS(_xll.RtGet(SourceAlias,$V51,ASK)-X51),4))</f>
        <v>0</v>
      </c>
      <c r="AM51" s="143">
        <f>IF($H51=" ","",ROUND(ABS(_xll.RtGet(SourceAlias,$Y51,BID)-Z51),4))</f>
        <v>6.4999999999999997E-3</v>
      </c>
      <c r="AN51" s="143">
        <f>IF($H51=" ","",ROUND(ABS(_xll.RtGet(SourceAlias,$Y51,ASK)-AA51),4))</f>
        <v>6.4999999999999997E-3</v>
      </c>
    </row>
    <row r="52" spans="1:40" x14ac:dyDescent="0.2">
      <c r="A52" s="192"/>
      <c r="B52" s="49" t="s">
        <v>79</v>
      </c>
      <c r="C52" s="132" t="str">
        <f>IF(Contribute="abcd",IF($E$2&lt;&gt;-1,_xll.RtContribute(SourceAlias,J52,Fields,K52:L52,"SCOPE:SERVER"),_xll.RtContribute(SourceAlias,"DDS_INSERT_S",$E$2:$G$2,J52:L52,"SCOPE:SERVER FTC:ALL")),"stopped")</f>
        <v>stopped</v>
      </c>
      <c r="D52" s="139" t="str">
        <f>IF(Contribute="abcd",IF($E$2&lt;&gt;-1,_xll.RtContribute(SourceAlias,M52,Fields,N52:O52,"SCOPE:SERVER"),_xll.RtContribute(SourceAlias,"DDS_INSERT_S",$E$2:$G$2,M52:O52,"SCOPE:SERVER FTC:ALL")),"stopped")</f>
        <v>stopped</v>
      </c>
      <c r="E52" s="139" t="str">
        <f>IF(Contribute="abcd",IF($E$2&lt;&gt;-1,_xll.RtContribute(SourceAlias,P52,Fields,Q52:R52,"SCOPE:SERVER"),_xll.RtContribute(SourceAlias,"DDS_INSERT_S",$E$2:$G$2,P52:R52,"SCOPE:SERVER FTC:ALL")),"stopped")</f>
        <v>stopped</v>
      </c>
      <c r="F52" s="132" t="str">
        <f>IF(Contribute="abcd",IF($E$2&lt;&gt;-1,_xll.RtContribute(SourceAlias,S52,Fields,T52:U52,"SCOPE:SERVER"),_xll.RtContribute(SourceAlias,"DDS_INSERT_S",$E$2:$G$2,T52:U52,"SCOPE:SERVER FTC:ALL")),"stopped")</f>
        <v>stopped</v>
      </c>
      <c r="G52" s="132" t="str">
        <f>IF(Contribute="abcd",IF($E$2&lt;&gt;-1,_xll.RtContribute(SourceAlias,V52,Fields,W52:X52,"SCOPE:SERVER"),_xll.RtContribute(SourceAlias,"DDS_INSERT_S",$E$2:$G$2,V52:X52,"SCOPE:SERVER FTC:ALL")),"stopped")</f>
        <v>stopped</v>
      </c>
      <c r="H52" s="132" t="str">
        <f>IF(Contribute="abcd",IF($E$2&lt;&gt;-1,_xll.RtContribute(SourceAlias,Y52,Fields,Z52:AA52,"SCOPE:SERVER"),_xll.RtContribute(SourceAlias,"DDS_INSERT_S",$E$2:$G$2,Y52:AA52,"SCOPE:SERVER FTC:ALL")),"stopped")</f>
        <v>stopped</v>
      </c>
      <c r="I52" s="3" t="s">
        <v>46</v>
      </c>
      <c r="J52" s="115" t="str">
        <v>USD_CURVE_1M_17Y</v>
      </c>
      <c r="K52" s="120">
        <f>IF(J52="","",'1M Pricing'!$I52*100)</f>
        <v>2.4219449166169982</v>
      </c>
      <c r="L52" s="120">
        <f t="shared" si="11"/>
        <v>2.4219449166169982</v>
      </c>
      <c r="M52" s="115" t="str">
        <v>USD_CURVE_3M_17Y</v>
      </c>
      <c r="N52" s="120">
        <f>IF(M52="","",'3M Pricing'!$I52*100)</f>
        <v>2.523159617570164</v>
      </c>
      <c r="O52" s="116">
        <f t="shared" si="12"/>
        <v>2.523159617570164</v>
      </c>
      <c r="P52" s="115" t="str">
        <v>USD_CURVE_6M_17Y</v>
      </c>
      <c r="Q52" s="116">
        <f>IF(P52="","",'6M Pricing'!$I52*100)</f>
        <v>2.6228076357978418</v>
      </c>
      <c r="R52" s="116">
        <f t="shared" si="13"/>
        <v>2.6228076357978418</v>
      </c>
      <c r="S52" s="115" t="str">
        <v>USD_CURVE_12M_17Y</v>
      </c>
      <c r="T52" s="116">
        <f>IF(S52="","",'1Y Pricing'!$I52*100)</f>
        <v>2.7679687072433139</v>
      </c>
      <c r="U52" s="116">
        <f t="shared" si="14"/>
        <v>2.7679687072433139</v>
      </c>
      <c r="V52" s="115" t="str">
        <v>USD_CURVE_OIS_17Y</v>
      </c>
      <c r="W52" s="120">
        <f>IF(V52="","",'ON Pricing'!$G52*100)</f>
        <v>2.3089441185618056</v>
      </c>
      <c r="X52" s="120">
        <f t="shared" si="15"/>
        <v>2.3089441185618056</v>
      </c>
      <c r="Y52" s="115" t="str">
        <v>USD_CURVE_STD_17Y</v>
      </c>
      <c r="Z52" s="120">
        <f>IF(Y52="","",'STD Pricing'!$G52*100)</f>
        <v>2.5139444091508385</v>
      </c>
      <c r="AA52" s="120">
        <f t="shared" si="5"/>
        <v>2.5139444091508385</v>
      </c>
      <c r="AC52" s="143">
        <f>IF($C52=" ","",ROUND(ABS(_xll.RtGet(SourceAlias,$J52,BID)-K52),4))</f>
        <v>2.9999999999999997E-4</v>
      </c>
      <c r="AD52" s="143">
        <f>IF($C52=" ","",ROUND(ABS(_xll.RtGet(SourceAlias,$J52,ASK)-L52),4))</f>
        <v>2.9999999999999997E-4</v>
      </c>
      <c r="AE52" s="143">
        <f>IF($D52=" ","",ROUND(ABS(_xll.RtGet(SourceAlias,$M52,BID)-N52),4))</f>
        <v>2.9999999999999997E-4</v>
      </c>
      <c r="AF52" s="143">
        <f>IF($D52=" ","",ROUND(ABS(_xll.RtGet(SourceAlias,$M52,ASK)-O52),4))</f>
        <v>2.9999999999999997E-4</v>
      </c>
      <c r="AG52" s="143">
        <f>IF($E52=" ","",ROUND(ABS(_xll.RtGet(SourceAlias,$P52,BID)-Q52),4))</f>
        <v>2.9999999999999997E-4</v>
      </c>
      <c r="AH52" s="143">
        <f>IF($E52=" ","",ROUND(ABS(_xll.RtGet(SourceAlias,$P52,ASK)-R52),4))</f>
        <v>2.9999999999999997E-4</v>
      </c>
      <c r="AI52" s="143">
        <f>IF($F52=" ","",ROUND(ABS(_xll.RtGet(SourceAlias,$S52,BID)-T52),4))</f>
        <v>2.9999999999999997E-4</v>
      </c>
      <c r="AJ52" s="143">
        <f>IF($F52=" ","",ROUND(ABS(_xll.RtGet(SourceAlias,$S52,ASK)-U52),4))</f>
        <v>2.9999999999999997E-4</v>
      </c>
      <c r="AK52" s="143">
        <f>IF($G52=" ","",ROUND(ABS(_xll.RtGet(SourceAlias,$V52,BID)-W52),4))</f>
        <v>0</v>
      </c>
      <c r="AL52" s="143">
        <f>IF($G52=" ","",ROUND(ABS(_xll.RtGet(SourceAlias,$V52,ASK)-X52),4))</f>
        <v>0</v>
      </c>
      <c r="AM52" s="143">
        <f>IF($H52=" ","",ROUND(ABS(_xll.RtGet(SourceAlias,$Y52,BID)-Z52),4))</f>
        <v>9.1999999999999998E-3</v>
      </c>
      <c r="AN52" s="143">
        <f>IF($H52=" ","",ROUND(ABS(_xll.RtGet(SourceAlias,$Y52,ASK)-AA52),4))</f>
        <v>9.1999999999999998E-3</v>
      </c>
    </row>
    <row r="53" spans="1:40" x14ac:dyDescent="0.2">
      <c r="A53" s="192"/>
      <c r="B53" s="49" t="s">
        <v>80</v>
      </c>
      <c r="C53" s="132" t="str">
        <f>IF(Contribute="abcd",IF($E$2&lt;&gt;-1,_xll.RtContribute(SourceAlias,J53,Fields,K53:L53,"SCOPE:SERVER"),_xll.RtContribute(SourceAlias,"DDS_INSERT_S",$E$2:$G$2,J53:L53,"SCOPE:SERVER FTC:ALL")),"stopped")</f>
        <v>stopped</v>
      </c>
      <c r="D53" s="139" t="str">
        <f>IF(Contribute="abcd",IF($E$2&lt;&gt;-1,_xll.RtContribute(SourceAlias,M53,Fields,N53:O53,"SCOPE:SERVER"),_xll.RtContribute(SourceAlias,"DDS_INSERT_S",$E$2:$G$2,M53:O53,"SCOPE:SERVER FTC:ALL")),"stopped")</f>
        <v>stopped</v>
      </c>
      <c r="E53" s="139" t="str">
        <f>IF(Contribute="abcd",IF($E$2&lt;&gt;-1,_xll.RtContribute(SourceAlias,P53,Fields,Q53:R53,"SCOPE:SERVER"),_xll.RtContribute(SourceAlias,"DDS_INSERT_S",$E$2:$G$2,P53:R53,"SCOPE:SERVER FTC:ALL")),"stopped")</f>
        <v>stopped</v>
      </c>
      <c r="F53" s="132" t="str">
        <f>IF(Contribute="abcd",IF($E$2&lt;&gt;-1,_xll.RtContribute(SourceAlias,S53,Fields,T53:U53,"SCOPE:SERVER"),_xll.RtContribute(SourceAlias,"DDS_INSERT_S",$E$2:$G$2,T53:U53,"SCOPE:SERVER FTC:ALL")),"stopped")</f>
        <v>stopped</v>
      </c>
      <c r="G53" s="132" t="str">
        <f>IF(Contribute="abcd",IF($E$2&lt;&gt;-1,_xll.RtContribute(SourceAlias,V53,Fields,W53:X53,"SCOPE:SERVER"),_xll.RtContribute(SourceAlias,"DDS_INSERT_S",$E$2:$G$2,V53:X53,"SCOPE:SERVER FTC:ALL")),"stopped")</f>
        <v>stopped</v>
      </c>
      <c r="H53" s="132" t="str">
        <f>IF(Contribute="abcd",IF($E$2&lt;&gt;-1,_xll.RtContribute(SourceAlias,Y53,Fields,Z53:AA53,"SCOPE:SERVER"),_xll.RtContribute(SourceAlias,"DDS_INSERT_S",$E$2:$G$2,Y53:AA53,"SCOPE:SERVER FTC:ALL")),"stopped")</f>
        <v>stopped</v>
      </c>
      <c r="I53" s="3" t="s">
        <v>46</v>
      </c>
      <c r="J53" s="115" t="str">
        <v>USD_CURVE_1M_18Y</v>
      </c>
      <c r="K53" s="120">
        <f>IF(J53="","",'1M Pricing'!$I53*100)</f>
        <v>2.4447703502043798</v>
      </c>
      <c r="L53" s="120">
        <f t="shared" si="11"/>
        <v>2.4447703502043798</v>
      </c>
      <c r="M53" s="115" t="str">
        <v>USD_CURVE_3M_18Y</v>
      </c>
      <c r="N53" s="120">
        <f>IF(M53="","",'3M Pricing'!$I53*100)</f>
        <v>2.5470207854342402</v>
      </c>
      <c r="O53" s="116">
        <f t="shared" si="12"/>
        <v>2.5470207854342402</v>
      </c>
      <c r="P53" s="115" t="str">
        <v>USD_CURVE_6M_18Y</v>
      </c>
      <c r="Q53" s="116">
        <f>IF(P53="","",'6M Pricing'!$I53*100)</f>
        <v>2.6467686684473324</v>
      </c>
      <c r="R53" s="116">
        <f t="shared" si="13"/>
        <v>2.6467686684473324</v>
      </c>
      <c r="S53" s="115" t="str">
        <v>USD_CURVE_12M_18Y</v>
      </c>
      <c r="T53" s="116">
        <f>IF(S53="","",'1Y Pricing'!$I53*100)</f>
        <v>2.7893441826041423</v>
      </c>
      <c r="U53" s="116">
        <f t="shared" si="14"/>
        <v>2.7893441826041423</v>
      </c>
      <c r="V53" s="115" t="str">
        <v>USD_CURVE_OIS_18Y</v>
      </c>
      <c r="W53" s="120">
        <f>IF(V53="","",'ON Pricing'!$G53*100)</f>
        <v>2.3316903102877085</v>
      </c>
      <c r="X53" s="120">
        <f t="shared" si="15"/>
        <v>2.3316903102877085</v>
      </c>
      <c r="Y53" s="115" t="str">
        <v>USD_CURVE_STD_18Y</v>
      </c>
      <c r="Z53" s="120">
        <f>IF(Y53="","",'STD Pricing'!$G53*100)</f>
        <v>2.5382418171830579</v>
      </c>
      <c r="AA53" s="120">
        <f t="shared" si="5"/>
        <v>2.5382418171830579</v>
      </c>
      <c r="AC53" s="143">
        <f>IF($C53=" ","",ROUND(ABS(_xll.RtGet(SourceAlias,$J53,BID)-K53),4))</f>
        <v>2.9999999999999997E-4</v>
      </c>
      <c r="AD53" s="143">
        <f>IF($C53=" ","",ROUND(ABS(_xll.RtGet(SourceAlias,$J53,ASK)-L53),4))</f>
        <v>2.9999999999999997E-4</v>
      </c>
      <c r="AE53" s="143">
        <f>IF($D53=" ","",ROUND(ABS(_xll.RtGet(SourceAlias,$M53,BID)-N53),4))</f>
        <v>2.9999999999999997E-4</v>
      </c>
      <c r="AF53" s="143">
        <f>IF($D53=" ","",ROUND(ABS(_xll.RtGet(SourceAlias,$M53,ASK)-O53),4))</f>
        <v>2.9999999999999997E-4</v>
      </c>
      <c r="AG53" s="143">
        <f>IF($E53=" ","",ROUND(ABS(_xll.RtGet(SourceAlias,$P53,BID)-Q53),4))</f>
        <v>2.9999999999999997E-4</v>
      </c>
      <c r="AH53" s="143">
        <f>IF($E53=" ","",ROUND(ABS(_xll.RtGet(SourceAlias,$P53,ASK)-R53),4))</f>
        <v>2.9999999999999997E-4</v>
      </c>
      <c r="AI53" s="143">
        <f>IF($F53=" ","",ROUND(ABS(_xll.RtGet(SourceAlias,$S53,BID)-T53),4))</f>
        <v>2.9999999999999997E-4</v>
      </c>
      <c r="AJ53" s="143">
        <f>IF($F53=" ","",ROUND(ABS(_xll.RtGet(SourceAlias,$S53,ASK)-U53),4))</f>
        <v>2.9999999999999997E-4</v>
      </c>
      <c r="AK53" s="143">
        <f>IF($G53=" ","",ROUND(ABS(_xll.RtGet(SourceAlias,$V53,BID)-W53),4))</f>
        <v>0</v>
      </c>
      <c r="AL53" s="143">
        <f>IF($G53=" ","",ROUND(ABS(_xll.RtGet(SourceAlias,$V53,ASK)-X53),4))</f>
        <v>0</v>
      </c>
      <c r="AM53" s="143">
        <f>IF($H53=" ","",ROUND(ABS(_xll.RtGet(SourceAlias,$Y53,BID)-Z53),4))</f>
        <v>8.8000000000000005E-3</v>
      </c>
      <c r="AN53" s="143">
        <f>IF($H53=" ","",ROUND(ABS(_xll.RtGet(SourceAlias,$Y53,ASK)-AA53),4))</f>
        <v>8.8000000000000005E-3</v>
      </c>
    </row>
    <row r="54" spans="1:40" x14ac:dyDescent="0.2">
      <c r="A54" s="192"/>
      <c r="B54" s="49" t="s">
        <v>81</v>
      </c>
      <c r="C54" s="132" t="str">
        <f>IF(Contribute="abcd",IF($E$2&lt;&gt;-1,_xll.RtContribute(SourceAlias,J54,Fields,K54:L54,"SCOPE:SERVER"),_xll.RtContribute(SourceAlias,"DDS_INSERT_S",$E$2:$G$2,J54:L54,"SCOPE:SERVER FTC:ALL")),"stopped")</f>
        <v>stopped</v>
      </c>
      <c r="D54" s="139" t="str">
        <f>IF(Contribute="abcd",IF($E$2&lt;&gt;-1,_xll.RtContribute(SourceAlias,M54,Fields,N54:O54,"SCOPE:SERVER"),_xll.RtContribute(SourceAlias,"DDS_INSERT_S",$E$2:$G$2,M54:O54,"SCOPE:SERVER FTC:ALL")),"stopped")</f>
        <v>stopped</v>
      </c>
      <c r="E54" s="139" t="str">
        <f>IF(Contribute="abcd",IF($E$2&lt;&gt;-1,_xll.RtContribute(SourceAlias,P54,Fields,Q54:R54,"SCOPE:SERVER"),_xll.RtContribute(SourceAlias,"DDS_INSERT_S",$E$2:$G$2,P54:R54,"SCOPE:SERVER FTC:ALL")),"stopped")</f>
        <v>stopped</v>
      </c>
      <c r="F54" s="132" t="str">
        <f>IF(Contribute="abcd",IF($E$2&lt;&gt;-1,_xll.RtContribute(SourceAlias,S54,Fields,T54:U54,"SCOPE:SERVER"),_xll.RtContribute(SourceAlias,"DDS_INSERT_S",$E$2:$G$2,T54:U54,"SCOPE:SERVER FTC:ALL")),"stopped")</f>
        <v>stopped</v>
      </c>
      <c r="G54" s="132" t="str">
        <f>IF(Contribute="abcd",IF($E$2&lt;&gt;-1,_xll.RtContribute(SourceAlias,V54,Fields,W54:X54,"SCOPE:SERVER"),_xll.RtContribute(SourceAlias,"DDS_INSERT_S",$E$2:$G$2,V54:X54,"SCOPE:SERVER FTC:ALL")),"stopped")</f>
        <v>stopped</v>
      </c>
      <c r="H54" s="132" t="str">
        <f>IF(Contribute="abcd",IF($E$2&lt;&gt;-1,_xll.RtContribute(SourceAlias,Y54,Fields,Z54:AA54,"SCOPE:SERVER"),_xll.RtContribute(SourceAlias,"DDS_INSERT_S",$E$2:$G$2,Y54:AA54,"SCOPE:SERVER FTC:ALL")),"stopped")</f>
        <v>stopped</v>
      </c>
      <c r="I54" s="3" t="s">
        <v>46</v>
      </c>
      <c r="J54" s="115" t="str">
        <v>USD_CURVE_1M_19Y</v>
      </c>
      <c r="K54" s="120">
        <f>IF(J54="","",'1M Pricing'!$I54*100)</f>
        <v>2.464168846144057</v>
      </c>
      <c r="L54" s="120">
        <f t="shared" si="11"/>
        <v>2.464168846144057</v>
      </c>
      <c r="M54" s="115" t="str">
        <v>USD_CURVE_3M_19Y</v>
      </c>
      <c r="N54" s="120">
        <f>IF(M54="","",'3M Pricing'!$I54*100)</f>
        <v>2.567441861703577</v>
      </c>
      <c r="O54" s="116">
        <f t="shared" si="12"/>
        <v>2.567441861703577</v>
      </c>
      <c r="P54" s="115" t="str">
        <v>USD_CURVE_6M_19Y</v>
      </c>
      <c r="Q54" s="116">
        <f>IF(P54="","",'6M Pricing'!$I54*100)</f>
        <v>2.6672447893631173</v>
      </c>
      <c r="R54" s="116">
        <f t="shared" si="13"/>
        <v>2.6672447893631173</v>
      </c>
      <c r="S54" s="115" t="str">
        <v>USD_CURVE_12M_19Y</v>
      </c>
      <c r="T54" s="116">
        <f>IF(S54="","",'1Y Pricing'!$I54*100)</f>
        <v>2.8070922482838383</v>
      </c>
      <c r="U54" s="116">
        <f t="shared" si="14"/>
        <v>2.8070922482838383</v>
      </c>
      <c r="V54" s="115" t="str">
        <v>USD_CURVE_OIS_19Y</v>
      </c>
      <c r="W54" s="120">
        <f>IF(V54="","",'ON Pricing'!$G54*100)</f>
        <v>2.3511093027330001</v>
      </c>
      <c r="X54" s="120">
        <f t="shared" si="15"/>
        <v>2.3511093027330001</v>
      </c>
      <c r="Y54" s="115" t="str">
        <v>USD_CURVE_STD_19Y</v>
      </c>
      <c r="Z54" s="120">
        <f>IF(Y54="","",'STD Pricing'!$G54*100)</f>
        <v>2.5618484182030121</v>
      </c>
      <c r="AA54" s="120">
        <f t="shared" si="5"/>
        <v>2.5618484182030121</v>
      </c>
      <c r="AC54" s="143">
        <f>IF($C54=" ","",ROUND(ABS(_xll.RtGet(SourceAlias,$J54,BID)-K54),4))</f>
        <v>2.0000000000000001E-4</v>
      </c>
      <c r="AD54" s="143">
        <f>IF($C54=" ","",ROUND(ABS(_xll.RtGet(SourceAlias,$J54,ASK)-L54),4))</f>
        <v>2.0000000000000001E-4</v>
      </c>
      <c r="AE54" s="143">
        <f>IF($D54=" ","",ROUND(ABS(_xll.RtGet(SourceAlias,$M54,BID)-N54),4))</f>
        <v>2.0000000000000001E-4</v>
      </c>
      <c r="AF54" s="143">
        <f>IF($D54=" ","",ROUND(ABS(_xll.RtGet(SourceAlias,$M54,ASK)-O54),4))</f>
        <v>2.0000000000000001E-4</v>
      </c>
      <c r="AG54" s="143">
        <f>IF($E54=" ","",ROUND(ABS(_xll.RtGet(SourceAlias,$P54,BID)-Q54),4))</f>
        <v>2.0000000000000001E-4</v>
      </c>
      <c r="AH54" s="143">
        <f>IF($E54=" ","",ROUND(ABS(_xll.RtGet(SourceAlias,$P54,ASK)-R54),4))</f>
        <v>2.0000000000000001E-4</v>
      </c>
      <c r="AI54" s="143">
        <f>IF($F54=" ","",ROUND(ABS(_xll.RtGet(SourceAlias,$S54,BID)-T54),4))</f>
        <v>2.0000000000000001E-4</v>
      </c>
      <c r="AJ54" s="143">
        <f>IF($F54=" ","",ROUND(ABS(_xll.RtGet(SourceAlias,$S54,ASK)-U54),4))</f>
        <v>2.0000000000000001E-4</v>
      </c>
      <c r="AK54" s="143">
        <f>IF($G54=" ","",ROUND(ABS(_xll.RtGet(SourceAlias,$V54,BID)-W54),4))</f>
        <v>0</v>
      </c>
      <c r="AL54" s="143">
        <f>IF($G54=" ","",ROUND(ABS(_xll.RtGet(SourceAlias,$V54,ASK)-X54),4))</f>
        <v>0</v>
      </c>
      <c r="AM54" s="143">
        <f>IF($H54=" ","",ROUND(ABS(_xll.RtGet(SourceAlias,$Y54,BID)-Z54),4))</f>
        <v>5.7999999999999996E-3</v>
      </c>
      <c r="AN54" s="143">
        <f>IF($H54=" ","",ROUND(ABS(_xll.RtGet(SourceAlias,$Y54,ASK)-AA54),4))</f>
        <v>5.7999999999999996E-3</v>
      </c>
    </row>
    <row r="55" spans="1:40" x14ac:dyDescent="0.2">
      <c r="A55" s="192"/>
      <c r="B55" s="49" t="s">
        <v>82</v>
      </c>
      <c r="C55" s="132" t="str">
        <f>IF(Contribute="abcd",IF($E$2&lt;&gt;-1,_xll.RtContribute(SourceAlias,J55,Fields,K55:L55,"SCOPE:SERVER"),_xll.RtContribute(SourceAlias,"DDS_INSERT_S",$E$2:$G$2,J55:L55,"SCOPE:SERVER FTC:ALL")),"stopped")</f>
        <v>stopped</v>
      </c>
      <c r="D55" s="139" t="str">
        <f>IF(Contribute="abcd",IF($E$2&lt;&gt;-1,_xll.RtContribute(SourceAlias,M55,Fields,N55:O55,"SCOPE:SERVER"),_xll.RtContribute(SourceAlias,"DDS_INSERT_S",$E$2:$G$2,M55:O55,"SCOPE:SERVER FTC:ALL")),"stopped")</f>
        <v>stopped</v>
      </c>
      <c r="E55" s="132" t="str">
        <f>IF(Contribute="abcd",IF($E$2&lt;&gt;-1,_xll.RtContribute(SourceAlias,P55,Fields,Q55:R55,"SCOPE:SERVER"),_xll.RtContribute(SourceAlias,"DDS_INSERT_S",$E$2:$G$2,P55:R55,"SCOPE:SERVER FTC:ALL")),"stopped")</f>
        <v>stopped</v>
      </c>
      <c r="F55" s="132" t="str">
        <f>IF(Contribute="abcd",IF($E$2&lt;&gt;-1,_xll.RtContribute(SourceAlias,S55,Fields,T55:U55,"SCOPE:SERVER"),_xll.RtContribute(SourceAlias,"DDS_INSERT_S",$E$2:$G$2,T55:U55,"SCOPE:SERVER FTC:ALL")),"stopped")</f>
        <v>stopped</v>
      </c>
      <c r="G55" s="132" t="str">
        <f>IF(Contribute="abcd",IF($E$2&lt;&gt;-1,_xll.RtContribute(SourceAlias,V55,Fields,W55:X55,"SCOPE:SERVER"),_xll.RtContribute(SourceAlias,"DDS_INSERT_S",$E$2:$G$2,V55:X55,"SCOPE:SERVER FTC:ALL")),"stopped")</f>
        <v>stopped</v>
      </c>
      <c r="H55" s="132" t="str">
        <f>IF(Contribute="abcd",IF($E$2&lt;&gt;-1,_xll.RtContribute(SourceAlias,Y55,Fields,Z55:AA55,"SCOPE:SERVER"),_xll.RtContribute(SourceAlias,"DDS_INSERT_S",$E$2:$G$2,Y55:AA55,"SCOPE:SERVER FTC:ALL")),"stopped")</f>
        <v>stopped</v>
      </c>
      <c r="I55" s="3" t="s">
        <v>46</v>
      </c>
      <c r="J55" s="115" t="str">
        <v>USD_CURVE_1M_20Y</v>
      </c>
      <c r="K55" s="120">
        <f>IF(J55="","",'1M Pricing'!$I55*100)</f>
        <v>2.4808673996292758</v>
      </c>
      <c r="L55" s="120">
        <f t="shared" si="11"/>
        <v>2.4808673996292758</v>
      </c>
      <c r="M55" s="115" t="str">
        <v>USD_CURVE_3M_20Y</v>
      </c>
      <c r="N55" s="120">
        <f>IF(M55="","",'3M Pricing'!$I55*100)</f>
        <v>2.5850000000038129</v>
      </c>
      <c r="O55" s="116">
        <f t="shared" si="12"/>
        <v>2.5850000000038129</v>
      </c>
      <c r="P55" s="115" t="str">
        <v>USD_CURVE_6M_20Y</v>
      </c>
      <c r="Q55" s="116">
        <f>IF(P55="","",'6M Pricing'!$I55*100)</f>
        <v>2.6848992419665971</v>
      </c>
      <c r="R55" s="116">
        <f t="shared" si="13"/>
        <v>2.6848992419665971</v>
      </c>
      <c r="S55" s="115" t="str">
        <v>USD_CURVE_12M_20Y</v>
      </c>
      <c r="T55" s="116">
        <f>IF(S55="","",'1Y Pricing'!$I55*100)</f>
        <v>2.8221345642684241</v>
      </c>
      <c r="U55" s="116">
        <f t="shared" si="14"/>
        <v>2.8221345642684241</v>
      </c>
      <c r="V55" s="115" t="str">
        <v>USD_CURVE_OIS_20Y</v>
      </c>
      <c r="W55" s="120">
        <f>IF(V55="","",'ON Pricing'!$G55*100)</f>
        <v>2.3679999999998333</v>
      </c>
      <c r="X55" s="120">
        <f t="shared" si="15"/>
        <v>2.3679999999998333</v>
      </c>
      <c r="Y55" s="115" t="str">
        <v>USD_CURVE_STD_20Y</v>
      </c>
      <c r="Z55" s="120">
        <f>IF(Y55="","",'STD Pricing'!$G55*100)</f>
        <v>2.5850000000000004</v>
      </c>
      <c r="AA55" s="120">
        <f t="shared" si="5"/>
        <v>2.5850000000000004</v>
      </c>
      <c r="AC55" s="143">
        <f>IF($C55=" ","",ROUND(ABS(_xll.RtGet(SourceAlias,$J55,BID)-K55),4))</f>
        <v>0</v>
      </c>
      <c r="AD55" s="143">
        <f>IF($C55=" ","",ROUND(ABS(_xll.RtGet(SourceAlias,$J55,ASK)-L55),4))</f>
        <v>0</v>
      </c>
      <c r="AE55" s="143">
        <f>IF($D55=" ","",ROUND(ABS(_xll.RtGet(SourceAlias,$M55,BID)-N55),4))</f>
        <v>0</v>
      </c>
      <c r="AF55" s="143">
        <f>IF($D55=" ","",ROUND(ABS(_xll.RtGet(SourceAlias,$M55,ASK)-O55),4))</f>
        <v>0</v>
      </c>
      <c r="AG55" s="143">
        <f>IF($E55=" ","",ROUND(ABS(_xll.RtGet(SourceAlias,$P55,BID)-Q55),4))</f>
        <v>0</v>
      </c>
      <c r="AH55" s="143">
        <f>IF($E55=" ","",ROUND(ABS(_xll.RtGet(SourceAlias,$P55,ASK)-R55),4))</f>
        <v>0</v>
      </c>
      <c r="AI55" s="143">
        <f>IF($F55=" ","",ROUND(ABS(_xll.RtGet(SourceAlias,$S55,BID)-T55),4))</f>
        <v>0</v>
      </c>
      <c r="AJ55" s="143">
        <f>IF($F55=" ","",ROUND(ABS(_xll.RtGet(SourceAlias,$S55,ASK)-U55),4))</f>
        <v>0</v>
      </c>
      <c r="AK55" s="143">
        <f>IF($G55=" ","",ROUND(ABS(_xll.RtGet(SourceAlias,$V55,BID)-W55),4))</f>
        <v>0</v>
      </c>
      <c r="AL55" s="143">
        <f>IF($G55=" ","",ROUND(ABS(_xll.RtGet(SourceAlias,$V55,ASK)-X55),4))</f>
        <v>0</v>
      </c>
      <c r="AM55" s="143">
        <f>IF($H55=" ","",ROUND(ABS(_xll.RtGet(SourceAlias,$Y55,BID)-Z55),4))</f>
        <v>0</v>
      </c>
      <c r="AN55" s="143">
        <f>IF($H55=" ","",ROUND(ABS(_xll.RtGet(SourceAlias,$Y55,ASK)-AA55),4))</f>
        <v>0</v>
      </c>
    </row>
    <row r="56" spans="1:40" x14ac:dyDescent="0.2">
      <c r="A56" s="192"/>
      <c r="B56" s="49" t="s">
        <v>83</v>
      </c>
      <c r="C56" s="132" t="str">
        <f>IF(Contribute="abcd",IF($E$2&lt;&gt;-1,_xll.RtContribute(SourceAlias,J56,Fields,K56:L56,"SCOPE:SERVER"),_xll.RtContribute(SourceAlias,"DDS_INSERT_S",$E$2:$G$2,J56:L56,"SCOPE:SERVER FTC:ALL")),"stopped")</f>
        <v>stopped</v>
      </c>
      <c r="D56" s="139" t="str">
        <f>IF(Contribute="abcd",IF($E$2&lt;&gt;-1,_xll.RtContribute(SourceAlias,M56,Fields,N56:O56,"SCOPE:SERVER"),_xll.RtContribute(SourceAlias,"DDS_INSERT_S",$E$2:$G$2,M56:O56,"SCOPE:SERVER FTC:ALL")),"stopped")</f>
        <v>stopped</v>
      </c>
      <c r="E56" s="132" t="str">
        <f>IF(Contribute="abcd",IF($E$2&lt;&gt;-1,_xll.RtContribute(SourceAlias,P56,Fields,Q56:R56,"SCOPE:SERVER"),_xll.RtContribute(SourceAlias,"DDS_INSERT_S",$E$2:$G$2,P56:R56,"SCOPE:SERVER FTC:ALL")),"stopped")</f>
        <v>stopped</v>
      </c>
      <c r="F56" s="132" t="str">
        <f>IF(Contribute="abcd",IF($E$2&lt;&gt;-1,_xll.RtContribute(SourceAlias,S56,Fields,T56:U56,"SCOPE:SERVER"),_xll.RtContribute(SourceAlias,"DDS_INSERT_S",$E$2:$G$2,T56:U56,"SCOPE:SERVER FTC:ALL")),"stopped")</f>
        <v>stopped</v>
      </c>
      <c r="G56" s="132" t="str">
        <f>IF(Contribute="abcd",IF($E$2&lt;&gt;-1,_xll.RtContribute(SourceAlias,V56,Fields,W56:X56,"SCOPE:SERVER"),_xll.RtContribute(SourceAlias,"DDS_INSERT_S",$E$2:$G$2,V56:X56,"SCOPE:SERVER FTC:ALL")),"stopped")</f>
        <v>stopped</v>
      </c>
      <c r="H56" s="132" t="str">
        <f>IF(Contribute="abcd",IF($E$2&lt;&gt;-1,_xll.RtContribute(SourceAlias,Y56,Fields,Z56:AA56,"SCOPE:SERVER"),_xll.RtContribute(SourceAlias,"DDS_INSERT_S",$E$2:$G$2,Y56:AA56,"SCOPE:SERVER FTC:ALL")),"stopped")</f>
        <v>stopped</v>
      </c>
      <c r="I56" s="3" t="s">
        <v>46</v>
      </c>
      <c r="J56" s="115" t="str">
        <v>USD_CURVE_1M_21Y</v>
      </c>
      <c r="K56" s="120">
        <f>IF(J56="","",'1M Pricing'!$I56*100)</f>
        <v>2.4953763287108051</v>
      </c>
      <c r="L56" s="120">
        <f t="shared" si="11"/>
        <v>2.4953763287108051</v>
      </c>
      <c r="M56" s="115" t="str">
        <v>USD_CURVE_3M_21Y</v>
      </c>
      <c r="N56" s="120">
        <f>IF(M56="","",'3M Pricing'!$I56*100)</f>
        <v>2.6001214339035403</v>
      </c>
      <c r="O56" s="116">
        <f t="shared" si="12"/>
        <v>2.6001214339035403</v>
      </c>
      <c r="P56" s="115" t="str">
        <v>USD_CURVE_6M_21Y</v>
      </c>
      <c r="Q56" s="116">
        <f>IF(P56="","",'6M Pricing'!$I56*100)</f>
        <v>2.7002064410123037</v>
      </c>
      <c r="R56" s="116">
        <f t="shared" si="13"/>
        <v>2.7002064410123037</v>
      </c>
      <c r="S56" s="115" t="str">
        <v>USD_CURVE_12M_21Y</v>
      </c>
      <c r="T56" s="116">
        <f>IF(S56="","",'1Y Pricing'!$I56*100)</f>
        <v>2.8351300455558244</v>
      </c>
      <c r="U56" s="116">
        <f t="shared" si="14"/>
        <v>2.8351300455558244</v>
      </c>
      <c r="V56" s="115" t="str">
        <v>USD_CURVE_OIS_21Y</v>
      </c>
      <c r="W56" s="120">
        <f>IF(V56="","",'ON Pricing'!$G56*100)</f>
        <v>2.3829112072377949</v>
      </c>
      <c r="X56" s="120">
        <f t="shared" si="15"/>
        <v>2.3829112072377949</v>
      </c>
      <c r="Y56" s="115" t="str">
        <v>USD_CURVE_STD_21Y</v>
      </c>
      <c r="Z56" s="120">
        <f>IF(Y56="","",'STD Pricing'!$G56*100)</f>
        <v>2.5974304369860821</v>
      </c>
      <c r="AA56" s="120">
        <f t="shared" si="5"/>
        <v>2.5974304369860821</v>
      </c>
      <c r="AC56" s="143">
        <f>IF($C56=" ","",ROUND(ABS(_xll.RtGet(SourceAlias,$J56,BID)-K56),4))</f>
        <v>2.9999999999999997E-4</v>
      </c>
      <c r="AD56" s="143">
        <f>IF($C56=" ","",ROUND(ABS(_xll.RtGet(SourceAlias,$J56,ASK)-L56),4))</f>
        <v>2.9999999999999997E-4</v>
      </c>
      <c r="AE56" s="143">
        <f>IF($D56=" ","",ROUND(ABS(_xll.RtGet(SourceAlias,$M56,BID)-N56),4))</f>
        <v>2.9999999999999997E-4</v>
      </c>
      <c r="AF56" s="143">
        <f>IF($D56=" ","",ROUND(ABS(_xll.RtGet(SourceAlias,$M56,ASK)-O56),4))</f>
        <v>2.9999999999999997E-4</v>
      </c>
      <c r="AG56" s="143">
        <f>IF($E56=" ","",ROUND(ABS(_xll.RtGet(SourceAlias,$P56,BID)-Q56),4))</f>
        <v>2.9999999999999997E-4</v>
      </c>
      <c r="AH56" s="143">
        <f>IF($E56=" ","",ROUND(ABS(_xll.RtGet(SourceAlias,$P56,ASK)-R56),4))</f>
        <v>2.9999999999999997E-4</v>
      </c>
      <c r="AI56" s="143">
        <f>IF($F56=" ","",ROUND(ABS(_xll.RtGet(SourceAlias,$S56,BID)-T56),4))</f>
        <v>2.9999999999999997E-4</v>
      </c>
      <c r="AJ56" s="143">
        <f>IF($F56=" ","",ROUND(ABS(_xll.RtGet(SourceAlias,$S56,ASK)-U56),4))</f>
        <v>2.9999999999999997E-4</v>
      </c>
      <c r="AK56" s="143">
        <f>IF($G56=" ","",ROUND(ABS(_xll.RtGet(SourceAlias,$V56,BID)-W56),4))</f>
        <v>0</v>
      </c>
      <c r="AL56" s="143">
        <f>IF($G56=" ","",ROUND(ABS(_xll.RtGet(SourceAlias,$V56,ASK)-X56),4))</f>
        <v>0</v>
      </c>
      <c r="AM56" s="143">
        <f>IF($H56=" ","",ROUND(ABS(_xll.RtGet(SourceAlias,$Y56,BID)-Z56),4))</f>
        <v>2.3999999999999998E-3</v>
      </c>
      <c r="AN56" s="143">
        <f>IF($H56=" ","",ROUND(ABS(_xll.RtGet(SourceAlias,$Y56,ASK)-AA56),4))</f>
        <v>2.3999999999999998E-3</v>
      </c>
    </row>
    <row r="57" spans="1:40" x14ac:dyDescent="0.2">
      <c r="A57" s="192"/>
      <c r="B57" s="49" t="s">
        <v>84</v>
      </c>
      <c r="C57" s="132" t="str">
        <f>IF(Contribute="abcd",IF($E$2&lt;&gt;-1,_xll.RtContribute(SourceAlias,J57,Fields,K57:L57,"SCOPE:SERVER"),_xll.RtContribute(SourceAlias,"DDS_INSERT_S",$E$2:$G$2,J57:L57,"SCOPE:SERVER FTC:ALL")),"stopped")</f>
        <v>stopped</v>
      </c>
      <c r="D57" s="139" t="str">
        <f>IF(Contribute="abcd",IF($E$2&lt;&gt;-1,_xll.RtContribute(SourceAlias,M57,Fields,N57:O57,"SCOPE:SERVER"),_xll.RtContribute(SourceAlias,"DDS_INSERT_S",$E$2:$G$2,M57:O57,"SCOPE:SERVER FTC:ALL")),"stopped")</f>
        <v>stopped</v>
      </c>
      <c r="E57" s="132" t="str">
        <f>IF(Contribute="abcd",IF($E$2&lt;&gt;-1,_xll.RtContribute(SourceAlias,P57,Fields,Q57:R57,"SCOPE:SERVER"),_xll.RtContribute(SourceAlias,"DDS_INSERT_S",$E$2:$G$2,P57:R57,"SCOPE:SERVER FTC:ALL")),"stopped")</f>
        <v>stopped</v>
      </c>
      <c r="F57" s="132" t="str">
        <f>IF(Contribute="abcd",IF($E$2&lt;&gt;-1,_xll.RtContribute(SourceAlias,S57,Fields,T57:U57,"SCOPE:SERVER"),_xll.RtContribute(SourceAlias,"DDS_INSERT_S",$E$2:$G$2,T57:U57,"SCOPE:SERVER FTC:ALL")),"stopped")</f>
        <v>stopped</v>
      </c>
      <c r="G57" s="132" t="str">
        <f>IF(Contribute="abcd",IF($E$2&lt;&gt;-1,_xll.RtContribute(SourceAlias,V57,Fields,W57:X57,"SCOPE:SERVER"),_xll.RtContribute(SourceAlias,"DDS_INSERT_S",$E$2:$G$2,V57:X57,"SCOPE:SERVER FTC:ALL")),"stopped")</f>
        <v>stopped</v>
      </c>
      <c r="H57" s="132" t="str">
        <f>IF(Contribute="abcd",IF($E$2&lt;&gt;-1,_xll.RtContribute(SourceAlias,Y57,Fields,Z57:AA57,"SCOPE:SERVER"),_xll.RtContribute(SourceAlias,"DDS_INSERT_S",$E$2:$G$2,Y57:AA57,"SCOPE:SERVER FTC:ALL")),"stopped")</f>
        <v>stopped</v>
      </c>
      <c r="I57" s="3" t="s">
        <v>46</v>
      </c>
      <c r="J57" s="115" t="str">
        <v>USD_CURVE_1M_22Y</v>
      </c>
      <c r="K57" s="120">
        <f>IF(J57="","",'1M Pricing'!$I57*100)</f>
        <v>2.5079718675977669</v>
      </c>
      <c r="L57" s="120">
        <f t="shared" si="11"/>
        <v>2.5079718675977669</v>
      </c>
      <c r="M57" s="115" t="str">
        <v>USD_CURVE_3M_22Y</v>
      </c>
      <c r="N57" s="120">
        <f>IF(M57="","",'3M Pricing'!$I57*100)</f>
        <v>2.6131457112182659</v>
      </c>
      <c r="O57" s="116">
        <f t="shared" si="12"/>
        <v>2.6131457112182659</v>
      </c>
      <c r="P57" s="115" t="str">
        <v>USD_CURVE_6M_22Y</v>
      </c>
      <c r="Q57" s="116">
        <f>IF(P57="","",'6M Pricing'!$I57*100)</f>
        <v>2.7134678849764748</v>
      </c>
      <c r="R57" s="116">
        <f t="shared" si="13"/>
        <v>2.7134678849764748</v>
      </c>
      <c r="S57" s="115" t="str">
        <v>USD_CURVE_12M_22Y</v>
      </c>
      <c r="T57" s="116">
        <f>IF(S57="","",'1Y Pricing'!$I57*100)</f>
        <v>2.8464746517175725</v>
      </c>
      <c r="U57" s="116">
        <f t="shared" si="14"/>
        <v>2.8464746517175725</v>
      </c>
      <c r="V57" s="115" t="str">
        <v>USD_CURVE_OIS_22Y</v>
      </c>
      <c r="W57" s="120">
        <f>IF(V57="","",'ON Pricing'!$G57*100)</f>
        <v>2.396066638209247</v>
      </c>
      <c r="X57" s="120">
        <f t="shared" si="15"/>
        <v>2.396066638209247</v>
      </c>
      <c r="Y57" s="115" t="str">
        <v>USD_CURVE_STD_22Y</v>
      </c>
      <c r="Z57" s="120">
        <f>IF(Y57="","",'STD Pricing'!$G57*100)</f>
        <v>2.6094969608063319</v>
      </c>
      <c r="AA57" s="120">
        <f t="shared" si="5"/>
        <v>2.6094969608063319</v>
      </c>
      <c r="AC57" s="143">
        <f>IF($C57=" ","",ROUND(ABS(_xll.RtGet(SourceAlias,$J57,BID)-K57),4))</f>
        <v>5.9999999999999995E-4</v>
      </c>
      <c r="AD57" s="143">
        <f>IF($C57=" ","",ROUND(ABS(_xll.RtGet(SourceAlias,$J57,ASK)-L57),4))</f>
        <v>5.9999999999999995E-4</v>
      </c>
      <c r="AE57" s="143">
        <f>IF($D57=" ","",ROUND(ABS(_xll.RtGet(SourceAlias,$M57,BID)-N57),4))</f>
        <v>5.9999999999999995E-4</v>
      </c>
      <c r="AF57" s="143">
        <f>IF($D57=" ","",ROUND(ABS(_xll.RtGet(SourceAlias,$M57,ASK)-O57),4))</f>
        <v>5.9999999999999995E-4</v>
      </c>
      <c r="AG57" s="143">
        <f>IF($E57=" ","",ROUND(ABS(_xll.RtGet(SourceAlias,$P57,BID)-Q57),4))</f>
        <v>5.9999999999999995E-4</v>
      </c>
      <c r="AH57" s="143">
        <f>IF($E57=" ","",ROUND(ABS(_xll.RtGet(SourceAlias,$P57,ASK)-R57),4))</f>
        <v>5.9999999999999995E-4</v>
      </c>
      <c r="AI57" s="143">
        <f>IF($F57=" ","",ROUND(ABS(_xll.RtGet(SourceAlias,$S57,BID)-T57),4))</f>
        <v>5.9999999999999995E-4</v>
      </c>
      <c r="AJ57" s="143">
        <f>IF($F57=" ","",ROUND(ABS(_xll.RtGet(SourceAlias,$S57,ASK)-U57),4))</f>
        <v>5.9999999999999995E-4</v>
      </c>
      <c r="AK57" s="143">
        <f>IF($G57=" ","",ROUND(ABS(_xll.RtGet(SourceAlias,$V57,BID)-W57),4))</f>
        <v>0</v>
      </c>
      <c r="AL57" s="143">
        <f>IF($G57=" ","",ROUND(ABS(_xll.RtGet(SourceAlias,$V57,ASK)-X57),4))</f>
        <v>0</v>
      </c>
      <c r="AM57" s="143">
        <f>IF($H57=" ","",ROUND(ABS(_xll.RtGet(SourceAlias,$Y57,BID)-Z57),4))</f>
        <v>3.5999999999999999E-3</v>
      </c>
      <c r="AN57" s="143">
        <f>IF($H57=" ","",ROUND(ABS(_xll.RtGet(SourceAlias,$Y57,ASK)-AA57),4))</f>
        <v>3.5999999999999999E-3</v>
      </c>
    </row>
    <row r="58" spans="1:40" x14ac:dyDescent="0.2">
      <c r="A58" s="192"/>
      <c r="B58" s="49" t="s">
        <v>85</v>
      </c>
      <c r="C58" s="132" t="str">
        <f>IF(Contribute="abcd",IF($E$2&lt;&gt;-1,_xll.RtContribute(SourceAlias,J58,Fields,K58:L58,"SCOPE:SERVER"),_xll.RtContribute(SourceAlias,"DDS_INSERT_S",$E$2:$G$2,J58:L58,"SCOPE:SERVER FTC:ALL")),"stopped")</f>
        <v>stopped</v>
      </c>
      <c r="D58" s="139" t="str">
        <f>IF(Contribute="abcd",IF($E$2&lt;&gt;-1,_xll.RtContribute(SourceAlias,M58,Fields,N58:O58,"SCOPE:SERVER"),_xll.RtContribute(SourceAlias,"DDS_INSERT_S",$E$2:$G$2,M58:O58,"SCOPE:SERVER FTC:ALL")),"stopped")</f>
        <v>stopped</v>
      </c>
      <c r="E58" s="132" t="str">
        <f>IF(Contribute="abcd",IF($E$2&lt;&gt;-1,_xll.RtContribute(SourceAlias,P58,Fields,Q58:R58,"SCOPE:SERVER"),_xll.RtContribute(SourceAlias,"DDS_INSERT_S",$E$2:$G$2,P58:R58,"SCOPE:SERVER FTC:ALL")),"stopped")</f>
        <v>stopped</v>
      </c>
      <c r="F58" s="132" t="str">
        <f>IF(Contribute="abcd",IF($E$2&lt;&gt;-1,_xll.RtContribute(SourceAlias,S58,Fields,T58:U58,"SCOPE:SERVER"),_xll.RtContribute(SourceAlias,"DDS_INSERT_S",$E$2:$G$2,T58:U58,"SCOPE:SERVER FTC:ALL")),"stopped")</f>
        <v>stopped</v>
      </c>
      <c r="G58" s="132" t="str">
        <f>IF(Contribute="abcd",IF($E$2&lt;&gt;-1,_xll.RtContribute(SourceAlias,V58,Fields,W58:X58,"SCOPE:SERVER"),_xll.RtContribute(SourceAlias,"DDS_INSERT_S",$E$2:$G$2,V58:X58,"SCOPE:SERVER FTC:ALL")),"stopped")</f>
        <v>stopped</v>
      </c>
      <c r="H58" s="132" t="str">
        <f>IF(Contribute="abcd",IF($E$2&lt;&gt;-1,_xll.RtContribute(SourceAlias,Y58,Fields,Z58:AA58,"SCOPE:SERVER"),_xll.RtContribute(SourceAlias,"DDS_INSERT_S",$E$2:$G$2,Y58:AA58,"SCOPE:SERVER FTC:ALL")),"stopped")</f>
        <v>stopped</v>
      </c>
      <c r="I58" s="3" t="s">
        <v>46</v>
      </c>
      <c r="J58" s="115" t="str">
        <v>USD_CURVE_1M_23Y</v>
      </c>
      <c r="K58" s="120">
        <f>IF(J58="","",'1M Pricing'!$I58*100)</f>
        <v>2.5190537191246318</v>
      </c>
      <c r="L58" s="120">
        <f t="shared" si="11"/>
        <v>2.5190537191246318</v>
      </c>
      <c r="M58" s="115" t="str">
        <v>USD_CURVE_3M_23Y</v>
      </c>
      <c r="N58" s="120">
        <f>IF(M58="","",'3M Pricing'!$I58*100)</f>
        <v>2.6245639958868772</v>
      </c>
      <c r="O58" s="116">
        <f t="shared" si="12"/>
        <v>2.6245639958868772</v>
      </c>
      <c r="P58" s="115" t="str">
        <v>USD_CURVE_6M_23Y</v>
      </c>
      <c r="Q58" s="116">
        <f>IF(P58="","",'6M Pricing'!$I58*100)</f>
        <v>2.7251294054528752</v>
      </c>
      <c r="R58" s="116">
        <f t="shared" si="13"/>
        <v>2.7251294054528752</v>
      </c>
      <c r="S58" s="115" t="str">
        <v>USD_CURVE_12M_23Y</v>
      </c>
      <c r="T58" s="116">
        <f>IF(S58="","",'1Y Pricing'!$I58*100)</f>
        <v>2.8566484455217687</v>
      </c>
      <c r="U58" s="116">
        <f t="shared" si="14"/>
        <v>2.8566484455217687</v>
      </c>
      <c r="V58" s="115" t="str">
        <v>USD_CURVE_OIS_23Y</v>
      </c>
      <c r="W58" s="120">
        <f>IF(V58="","",'ON Pricing'!$G58*100)</f>
        <v>2.4078070565081169</v>
      </c>
      <c r="X58" s="120">
        <f t="shared" si="15"/>
        <v>2.4078070565081169</v>
      </c>
      <c r="Y58" s="115" t="str">
        <v>USD_CURVE_STD_23Y</v>
      </c>
      <c r="Z58" s="120">
        <f>IF(Y58="","",'STD Pricing'!$G58*100)</f>
        <v>2.621262146914594</v>
      </c>
      <c r="AA58" s="120">
        <f t="shared" si="5"/>
        <v>2.621262146914594</v>
      </c>
      <c r="AC58" s="143">
        <f>IF($C58=" ","",ROUND(ABS(_xll.RtGet(SourceAlias,$J58,BID)-K58),4))</f>
        <v>8.0000000000000004E-4</v>
      </c>
      <c r="AD58" s="143">
        <f>IF($C58=" ","",ROUND(ABS(_xll.RtGet(SourceAlias,$J58,ASK)-L58),4))</f>
        <v>8.0000000000000004E-4</v>
      </c>
      <c r="AE58" s="143">
        <f>IF($D58=" ","",ROUND(ABS(_xll.RtGet(SourceAlias,$M58,BID)-N58),4))</f>
        <v>8.0000000000000004E-4</v>
      </c>
      <c r="AF58" s="143">
        <f>IF($D58=" ","",ROUND(ABS(_xll.RtGet(SourceAlias,$M58,ASK)-O58),4))</f>
        <v>8.0000000000000004E-4</v>
      </c>
      <c r="AG58" s="143">
        <f>IF($E58=" ","",ROUND(ABS(_xll.RtGet(SourceAlias,$P58,BID)-Q58),4))</f>
        <v>8.0000000000000004E-4</v>
      </c>
      <c r="AH58" s="143">
        <f>IF($E58=" ","",ROUND(ABS(_xll.RtGet(SourceAlias,$P58,ASK)-R58),4))</f>
        <v>8.0000000000000004E-4</v>
      </c>
      <c r="AI58" s="143">
        <f>IF($F58=" ","",ROUND(ABS(_xll.RtGet(SourceAlias,$S58,BID)-T58),4))</f>
        <v>8.0000000000000004E-4</v>
      </c>
      <c r="AJ58" s="143">
        <f>IF($F58=" ","",ROUND(ABS(_xll.RtGet(SourceAlias,$S58,ASK)-U58),4))</f>
        <v>8.0000000000000004E-4</v>
      </c>
      <c r="AK58" s="143">
        <f>IF($G58=" ","",ROUND(ABS(_xll.RtGet(SourceAlias,$V58,BID)-W58),4))</f>
        <v>0</v>
      </c>
      <c r="AL58" s="143">
        <f>IF($G58=" ","",ROUND(ABS(_xll.RtGet(SourceAlias,$V58,ASK)-X58),4))</f>
        <v>0</v>
      </c>
      <c r="AM58" s="143">
        <f>IF($H58=" ","",ROUND(ABS(_xll.RtGet(SourceAlias,$Y58,BID)-Z58),4))</f>
        <v>3.3E-3</v>
      </c>
      <c r="AN58" s="143">
        <f>IF($H58=" ","",ROUND(ABS(_xll.RtGet(SourceAlias,$Y58,ASK)-AA58),4))</f>
        <v>3.3E-3</v>
      </c>
    </row>
    <row r="59" spans="1:40" x14ac:dyDescent="0.2">
      <c r="A59" s="192"/>
      <c r="B59" s="49" t="s">
        <v>86</v>
      </c>
      <c r="C59" s="132" t="str">
        <f>IF(Contribute="abcd",IF($E$2&lt;&gt;-1,_xll.RtContribute(SourceAlias,J59,Fields,K59:L59,"SCOPE:SERVER"),_xll.RtContribute(SourceAlias,"DDS_INSERT_S",$E$2:$G$2,J59:L59,"SCOPE:SERVER FTC:ALL")),"stopped")</f>
        <v>stopped</v>
      </c>
      <c r="D59" s="139" t="str">
        <f>IF(Contribute="abcd",IF($E$2&lt;&gt;-1,_xll.RtContribute(SourceAlias,M59,Fields,N59:O59,"SCOPE:SERVER"),_xll.RtContribute(SourceAlias,"DDS_INSERT_S",$E$2:$G$2,M59:O59,"SCOPE:SERVER FTC:ALL")),"stopped")</f>
        <v>stopped</v>
      </c>
      <c r="E59" s="132" t="str">
        <f>IF(Contribute="abcd",IF($E$2&lt;&gt;-1,_xll.RtContribute(SourceAlias,P59,Fields,Q59:R59,"SCOPE:SERVER"),_xll.RtContribute(SourceAlias,"DDS_INSERT_S",$E$2:$G$2,P59:R59,"SCOPE:SERVER FTC:ALL")),"stopped")</f>
        <v>stopped</v>
      </c>
      <c r="F59" s="132" t="str">
        <f>IF(Contribute="abcd",IF($E$2&lt;&gt;-1,_xll.RtContribute(SourceAlias,S59,Fields,T59:U59,"SCOPE:SERVER"),_xll.RtContribute(SourceAlias,"DDS_INSERT_S",$E$2:$G$2,T59:U59,"SCOPE:SERVER FTC:ALL")),"stopped")</f>
        <v>stopped</v>
      </c>
      <c r="G59" s="132" t="str">
        <f>IF(Contribute="abcd",IF($E$2&lt;&gt;-1,_xll.RtContribute(SourceAlias,V59,Fields,W59:X59,"SCOPE:SERVER"),_xll.RtContribute(SourceAlias,"DDS_INSERT_S",$E$2:$G$2,V59:X59,"SCOPE:SERVER FTC:ALL")),"stopped")</f>
        <v>stopped</v>
      </c>
      <c r="H59" s="132" t="str">
        <f>IF(Contribute="abcd",IF($E$2&lt;&gt;-1,_xll.RtContribute(SourceAlias,Y59,Fields,Z59:AA59,"SCOPE:SERVER"),_xll.RtContribute(SourceAlias,"DDS_INSERT_S",$E$2:$G$2,Y59:AA59,"SCOPE:SERVER FTC:ALL")),"stopped")</f>
        <v>stopped</v>
      </c>
      <c r="I59" s="3" t="s">
        <v>46</v>
      </c>
      <c r="J59" s="115" t="str">
        <v>USD_CURVE_1M_24Y</v>
      </c>
      <c r="K59" s="120">
        <f>IF(J59="","",'1M Pricing'!$I59*100)</f>
        <v>2.5289698121455948</v>
      </c>
      <c r="L59" s="120">
        <f t="shared" si="11"/>
        <v>2.5289698121455948</v>
      </c>
      <c r="M59" s="115" t="str">
        <v>USD_CURVE_3M_24Y</v>
      </c>
      <c r="N59" s="120">
        <f>IF(M59="","",'3M Pricing'!$I59*100)</f>
        <v>2.6347986746068499</v>
      </c>
      <c r="O59" s="116">
        <f t="shared" si="12"/>
        <v>2.6347986746068499</v>
      </c>
      <c r="P59" s="115" t="str">
        <v>USD_CURVE_6M_24Y</v>
      </c>
      <c r="Q59" s="116">
        <f>IF(P59="","",'6M Pricing'!$I59*100)</f>
        <v>2.7355777577459413</v>
      </c>
      <c r="R59" s="116">
        <f t="shared" si="13"/>
        <v>2.7355777577459413</v>
      </c>
      <c r="S59" s="115" t="str">
        <v>USD_CURVE_12M_24Y</v>
      </c>
      <c r="T59" s="116">
        <f>IF(S59="","",'1Y Pricing'!$I59*100)</f>
        <v>2.8660656624266423</v>
      </c>
      <c r="U59" s="116">
        <f t="shared" si="14"/>
        <v>2.8660656624266423</v>
      </c>
      <c r="V59" s="115" t="str">
        <v>USD_CURVE_OIS_24Y</v>
      </c>
      <c r="W59" s="120">
        <f>IF(V59="","",'ON Pricing'!$G59*100)</f>
        <v>2.4184355910984321</v>
      </c>
      <c r="X59" s="120">
        <f t="shared" si="15"/>
        <v>2.4184355910984321</v>
      </c>
      <c r="Y59" s="115" t="str">
        <v>USD_CURVE_STD_24Y</v>
      </c>
      <c r="Z59" s="120">
        <f>IF(Y59="","",'STD Pricing'!$G59*100)</f>
        <v>2.6328148334409094</v>
      </c>
      <c r="AA59" s="120">
        <f t="shared" si="5"/>
        <v>2.6328148334409094</v>
      </c>
      <c r="AC59" s="143">
        <f>IF($C59=" ","",ROUND(ABS(_xll.RtGet(SourceAlias,$J59,BID)-K59),4))</f>
        <v>1E-3</v>
      </c>
      <c r="AD59" s="143">
        <f>IF($C59=" ","",ROUND(ABS(_xll.RtGet(SourceAlias,$J59,ASK)-L59),4))</f>
        <v>1E-3</v>
      </c>
      <c r="AE59" s="143">
        <f>IF($D59=" ","",ROUND(ABS(_xll.RtGet(SourceAlias,$M59,BID)-N59),4))</f>
        <v>1E-3</v>
      </c>
      <c r="AF59" s="143">
        <f>IF($D59=" ","",ROUND(ABS(_xll.RtGet(SourceAlias,$M59,ASK)-O59),4))</f>
        <v>1E-3</v>
      </c>
      <c r="AG59" s="143">
        <f>IF($E59=" ","",ROUND(ABS(_xll.RtGet(SourceAlias,$P59,BID)-Q59),4))</f>
        <v>1E-3</v>
      </c>
      <c r="AH59" s="143">
        <f>IF($E59=" ","",ROUND(ABS(_xll.RtGet(SourceAlias,$P59,ASK)-R59),4))</f>
        <v>1E-3</v>
      </c>
      <c r="AI59" s="143">
        <f>IF($F59=" ","",ROUND(ABS(_xll.RtGet(SourceAlias,$S59,BID)-T59),4))</f>
        <v>1E-3</v>
      </c>
      <c r="AJ59" s="143">
        <f>IF($F59=" ","",ROUND(ABS(_xll.RtGet(SourceAlias,$S59,ASK)-U59),4))</f>
        <v>1E-3</v>
      </c>
      <c r="AK59" s="143">
        <f>IF($G59=" ","",ROUND(ABS(_xll.RtGet(SourceAlias,$V59,BID)-W59),4))</f>
        <v>0</v>
      </c>
      <c r="AL59" s="143">
        <f>IF($G59=" ","",ROUND(ABS(_xll.RtGet(SourceAlias,$V59,ASK)-X59),4))</f>
        <v>0</v>
      </c>
      <c r="AM59" s="143">
        <f>IF($H59=" ","",ROUND(ABS(_xll.RtGet(SourceAlias,$Y59,BID)-Z59),4))</f>
        <v>1E-3</v>
      </c>
      <c r="AN59" s="143">
        <f>IF($H59=" ","",ROUND(ABS(_xll.RtGet(SourceAlias,$Y59,ASK)-AA59),4))</f>
        <v>1E-3</v>
      </c>
    </row>
    <row r="60" spans="1:40" x14ac:dyDescent="0.2">
      <c r="A60" s="192"/>
      <c r="B60" s="49" t="s">
        <v>87</v>
      </c>
      <c r="C60" s="132" t="str">
        <f>IF(Contribute="abcd",IF($E$2&lt;&gt;-1,_xll.RtContribute(SourceAlias,J60,Fields,K60:L60,"SCOPE:SERVER"),_xll.RtContribute(SourceAlias,"DDS_INSERT_S",$E$2:$G$2,J60:L60,"SCOPE:SERVER FTC:ALL")),"stopped")</f>
        <v>stopped</v>
      </c>
      <c r="D60" s="139" t="str">
        <f>IF(Contribute="abcd",IF($E$2&lt;&gt;-1,_xll.RtContribute(SourceAlias,M60,Fields,N60:O60,"SCOPE:SERVER"),_xll.RtContribute(SourceAlias,"DDS_INSERT_S",$E$2:$G$2,M60:O60,"SCOPE:SERVER FTC:ALL")),"stopped")</f>
        <v>stopped</v>
      </c>
      <c r="E60" s="132" t="str">
        <f>IF(Contribute="abcd",IF($E$2&lt;&gt;-1,_xll.RtContribute(SourceAlias,P60,Fields,Q60:R60,"SCOPE:SERVER"),_xll.RtContribute(SourceAlias,"DDS_INSERT_S",$E$2:$G$2,P60:R60,"SCOPE:SERVER FTC:ALL")),"stopped")</f>
        <v>stopped</v>
      </c>
      <c r="F60" s="132" t="str">
        <f>IF(Contribute="abcd",IF($E$2&lt;&gt;-1,_xll.RtContribute(SourceAlias,S60,Fields,T60:U60,"SCOPE:SERVER"),_xll.RtContribute(SourceAlias,"DDS_INSERT_S",$E$2:$G$2,T60:U60,"SCOPE:SERVER FTC:ALL")),"stopped")</f>
        <v>stopped</v>
      </c>
      <c r="G60" s="132" t="str">
        <f>IF(Contribute="abcd",IF($E$2&lt;&gt;-1,_xll.RtContribute(SourceAlias,V60,Fields,W60:X60,"SCOPE:SERVER"),_xll.RtContribute(SourceAlias,"DDS_INSERT_S",$E$2:$G$2,V60:X60,"SCOPE:SERVER FTC:ALL")),"stopped")</f>
        <v>stopped</v>
      </c>
      <c r="H60" s="132" t="str">
        <f>IF(Contribute="abcd",IF($E$2&lt;&gt;-1,_xll.RtContribute(SourceAlias,Y60,Fields,Z60:AA60,"SCOPE:SERVER"),_xll.RtContribute(SourceAlias,"DDS_INSERT_S",$E$2:$G$2,Y60:AA60,"SCOPE:SERVER FTC:ALL")),"stopped")</f>
        <v>stopped</v>
      </c>
      <c r="I60" s="3" t="s">
        <v>46</v>
      </c>
      <c r="J60" s="115" t="str">
        <v>USD_CURVE_1M_25Y</v>
      </c>
      <c r="K60" s="120">
        <f>IF(J60="","",'1M Pricing'!$I60*100)</f>
        <v>2.5378167593050547</v>
      </c>
      <c r="L60" s="120">
        <f t="shared" si="11"/>
        <v>2.5378167593050547</v>
      </c>
      <c r="M60" s="115" t="str">
        <v>USD_CURVE_3M_25Y</v>
      </c>
      <c r="N60" s="120">
        <f>IF(M60="","",'3M Pricing'!$I60*100)</f>
        <v>2.6439999999996222</v>
      </c>
      <c r="O60" s="116">
        <f t="shared" si="12"/>
        <v>2.6439999999996222</v>
      </c>
      <c r="P60" s="115" t="str">
        <v>USD_CURVE_6M_25Y</v>
      </c>
      <c r="Q60" s="116">
        <f>IF(P60="","",'6M Pricing'!$I60*100)</f>
        <v>2.7449291406634662</v>
      </c>
      <c r="R60" s="116">
        <f t="shared" si="13"/>
        <v>2.7449291406634662</v>
      </c>
      <c r="S60" s="115" t="str">
        <v>USD_CURVE_12M_25Y</v>
      </c>
      <c r="T60" s="116">
        <f>IF(S60="","",'1Y Pricing'!$I60*100)</f>
        <v>2.8748754092758291</v>
      </c>
      <c r="U60" s="116">
        <f t="shared" si="14"/>
        <v>2.8748754092758291</v>
      </c>
      <c r="V60" s="115" t="str">
        <v>USD_CURVE_OIS_25Y</v>
      </c>
      <c r="W60" s="120">
        <f>IF(V60="","",'ON Pricing'!$G60*100)</f>
        <v>2.4280000000016688</v>
      </c>
      <c r="X60" s="120">
        <f t="shared" si="15"/>
        <v>2.4280000000016688</v>
      </c>
      <c r="Y60" s="115" t="str">
        <v>USD_CURVE_STD_25Y</v>
      </c>
      <c r="Z60" s="120">
        <f>IF(Y60="","",'STD Pricing'!$G60*100)</f>
        <v>2.6439999999991395</v>
      </c>
      <c r="AA60" s="120">
        <f t="shared" si="5"/>
        <v>2.6439999999991395</v>
      </c>
      <c r="AC60" s="143">
        <f>IF($C60=" ","",ROUND(ABS(_xll.RtGet(SourceAlias,$J60,BID)-K60),4))</f>
        <v>1E-3</v>
      </c>
      <c r="AD60" s="143">
        <f>IF($C60=" ","",ROUND(ABS(_xll.RtGet(SourceAlias,$J60,ASK)-L60),4))</f>
        <v>1E-3</v>
      </c>
      <c r="AE60" s="143">
        <f>IF($D60=" ","",ROUND(ABS(_xll.RtGet(SourceAlias,$M60,BID)-N60),4))</f>
        <v>1E-3</v>
      </c>
      <c r="AF60" s="143">
        <f>IF($D60=" ","",ROUND(ABS(_xll.RtGet(SourceAlias,$M60,ASK)-O60),4))</f>
        <v>1E-3</v>
      </c>
      <c r="AG60" s="143">
        <f>IF($E60=" ","",ROUND(ABS(_xll.RtGet(SourceAlias,$P60,BID)-Q60),4))</f>
        <v>1E-3</v>
      </c>
      <c r="AH60" s="143">
        <f>IF($E60=" ","",ROUND(ABS(_xll.RtGet(SourceAlias,$P60,ASK)-R60),4))</f>
        <v>1E-3</v>
      </c>
      <c r="AI60" s="143">
        <f>IF($F60=" ","",ROUND(ABS(_xll.RtGet(SourceAlias,$S60,BID)-T60),4))</f>
        <v>1E-3</v>
      </c>
      <c r="AJ60" s="143">
        <f>IF($F60=" ","",ROUND(ABS(_xll.RtGet(SourceAlias,$S60,ASK)-U60),4))</f>
        <v>1E-3</v>
      </c>
      <c r="AK60" s="143">
        <f>IF($G60=" ","",ROUND(ABS(_xll.RtGet(SourceAlias,$V60,BID)-W60),4))</f>
        <v>0</v>
      </c>
      <c r="AL60" s="143">
        <f>IF($G60=" ","",ROUND(ABS(_xll.RtGet(SourceAlias,$V60,ASK)-X60),4))</f>
        <v>0</v>
      </c>
      <c r="AM60" s="143">
        <f>IF($H60=" ","",ROUND(ABS(_xll.RtGet(SourceAlias,$Y60,BID)-Z60),4))</f>
        <v>1E-3</v>
      </c>
      <c r="AN60" s="143">
        <f>IF($H60=" ","",ROUND(ABS(_xll.RtGet(SourceAlias,$Y60,ASK)-AA60),4))</f>
        <v>1E-3</v>
      </c>
    </row>
    <row r="61" spans="1:40" x14ac:dyDescent="0.2">
      <c r="A61" s="192"/>
      <c r="B61" s="49" t="s">
        <v>88</v>
      </c>
      <c r="C61" s="132" t="str">
        <f>IF(Contribute="abcd",IF($E$2&lt;&gt;-1,_xll.RtContribute(SourceAlias,J61,Fields,K61:L61,"SCOPE:SERVER"),_xll.RtContribute(SourceAlias,"DDS_INSERT_S",$E$2:$G$2,J61:L61,"SCOPE:SERVER FTC:ALL")),"stopped")</f>
        <v>stopped</v>
      </c>
      <c r="D61" s="139" t="str">
        <f>IF(Contribute="abcd",IF($E$2&lt;&gt;-1,_xll.RtContribute(SourceAlias,M61,Fields,N61:O61,"SCOPE:SERVER"),_xll.RtContribute(SourceAlias,"DDS_INSERT_S",$E$2:$G$2,M61:O61,"SCOPE:SERVER FTC:ALL")),"stopped")</f>
        <v>stopped</v>
      </c>
      <c r="E61" s="132" t="str">
        <f>IF(Contribute="abcd",IF($E$2&lt;&gt;-1,_xll.RtContribute(SourceAlias,P61,Fields,Q61:R61,"SCOPE:SERVER"),_xll.RtContribute(SourceAlias,"DDS_INSERT_S",$E$2:$G$2,P61:R61,"SCOPE:SERVER FTC:ALL")),"stopped")</f>
        <v>stopped</v>
      </c>
      <c r="F61" s="132" t="str">
        <f>IF(Contribute="abcd",IF($E$2&lt;&gt;-1,_xll.RtContribute(SourceAlias,S61,Fields,T61:U61,"SCOPE:SERVER"),_xll.RtContribute(SourceAlias,"DDS_INSERT_S",$E$2:$G$2,T61:U61,"SCOPE:SERVER FTC:ALL")),"stopped")</f>
        <v>stopped</v>
      </c>
      <c r="G61" s="132" t="str">
        <f>IF(Contribute="abcd",IF($E$2&lt;&gt;-1,_xll.RtContribute(SourceAlias,V61,Fields,W61:X61,"SCOPE:SERVER"),_xll.RtContribute(SourceAlias,"DDS_INSERT_S",$E$2:$G$2,V61:X61,"SCOPE:SERVER FTC:ALL")),"stopped")</f>
        <v>stopped</v>
      </c>
      <c r="H61" s="132" t="str">
        <f>IF(Contribute="abcd",IF($E$2&lt;&gt;-1,_xll.RtContribute(SourceAlias,Y61,Fields,Z61:AA61,"SCOPE:SERVER"),_xll.RtContribute(SourceAlias,"DDS_INSERT_S",$E$2:$G$2,Y61:AA61,"SCOPE:SERVER FTC:ALL")),"stopped")</f>
        <v>stopped</v>
      </c>
      <c r="I61" s="3" t="s">
        <v>46</v>
      </c>
      <c r="J61" s="115" t="str">
        <v>USD_CURVE_1M_26Y</v>
      </c>
      <c r="K61" s="120">
        <f>IF(J61="","",'1M Pricing'!$I61*100)</f>
        <v>2.5458856846455475</v>
      </c>
      <c r="L61" s="120">
        <f t="shared" si="11"/>
        <v>2.5458856846455475</v>
      </c>
      <c r="M61" s="115" t="str">
        <v>USD_CURVE_3M_26Y</v>
      </c>
      <c r="N61" s="120">
        <f>IF(M61="","",'3M Pricing'!$I61*100)</f>
        <v>2.6524947836535708</v>
      </c>
      <c r="O61" s="116">
        <f t="shared" si="12"/>
        <v>2.6524947836535708</v>
      </c>
      <c r="P61" s="115" t="str">
        <v>USD_CURVE_6M_26Y</v>
      </c>
      <c r="Q61" s="116">
        <f>IF(P61="","",'6M Pricing'!$I61*100)</f>
        <v>2.7534975911500097</v>
      </c>
      <c r="R61" s="116">
        <f t="shared" si="13"/>
        <v>2.7534975911500097</v>
      </c>
      <c r="S61" s="115" t="str">
        <v>USD_CURVE_12M_26Y</v>
      </c>
      <c r="T61" s="116">
        <f>IF(S61="","",'1Y Pricing'!$I61*100)</f>
        <v>2.8833653155826307</v>
      </c>
      <c r="U61" s="116">
        <f t="shared" si="14"/>
        <v>2.8833653155826307</v>
      </c>
      <c r="V61" s="115" t="str">
        <v>USD_CURVE_OIS_26Y</v>
      </c>
      <c r="W61" s="120">
        <f>IF(V61="","",'ON Pricing'!$G61*100)</f>
        <v>2.4367589497145294</v>
      </c>
      <c r="X61" s="120">
        <f t="shared" si="15"/>
        <v>2.4367589497145294</v>
      </c>
      <c r="Y61" s="115" t="str">
        <v>USD_CURVE_STD_26Y</v>
      </c>
      <c r="Z61" s="120">
        <f>IF(Y61="","",'STD Pricing'!$G61*100)</f>
        <v>2.6513812713254143</v>
      </c>
      <c r="AA61" s="120">
        <f t="shared" si="5"/>
        <v>2.6513812713254143</v>
      </c>
      <c r="AC61" s="143">
        <f>IF($C61=" ","",ROUND(ABS(_xll.RtGet(SourceAlias,$J61,BID)-K61),4))</f>
        <v>8.9999999999999998E-4</v>
      </c>
      <c r="AD61" s="143">
        <f>IF($C61=" ","",ROUND(ABS(_xll.RtGet(SourceAlias,$J61,ASK)-L61),4))</f>
        <v>8.9999999999999998E-4</v>
      </c>
      <c r="AE61" s="143">
        <f>IF($D61=" ","",ROUND(ABS(_xll.RtGet(SourceAlias,$M61,BID)-N61),4))</f>
        <v>8.9999999999999998E-4</v>
      </c>
      <c r="AF61" s="143">
        <f>IF($D61=" ","",ROUND(ABS(_xll.RtGet(SourceAlias,$M61,ASK)-O61),4))</f>
        <v>8.9999999999999998E-4</v>
      </c>
      <c r="AG61" s="143">
        <f>IF($E61=" ","",ROUND(ABS(_xll.RtGet(SourceAlias,$P61,BID)-Q61),4))</f>
        <v>8.9999999999999998E-4</v>
      </c>
      <c r="AH61" s="143">
        <f>IF($E61=" ","",ROUND(ABS(_xll.RtGet(SourceAlias,$P61,ASK)-R61),4))</f>
        <v>8.9999999999999998E-4</v>
      </c>
      <c r="AI61" s="143">
        <f>IF($F61=" ","",ROUND(ABS(_xll.RtGet(SourceAlias,$S61,BID)-T61),4))</f>
        <v>8.9999999999999998E-4</v>
      </c>
      <c r="AJ61" s="143">
        <f>IF($F61=" ","",ROUND(ABS(_xll.RtGet(SourceAlias,$S61,ASK)-U61),4))</f>
        <v>8.9999999999999998E-4</v>
      </c>
      <c r="AK61" s="143">
        <f>IF($G61=" ","",ROUND(ABS(_xll.RtGet(SourceAlias,$V61,BID)-W61),4))</f>
        <v>0</v>
      </c>
      <c r="AL61" s="143">
        <f>IF($G61=" ","",ROUND(ABS(_xll.RtGet(SourceAlias,$V61,ASK)-X61),4))</f>
        <v>0</v>
      </c>
      <c r="AM61" s="143">
        <f>IF($H61=" ","",ROUND(ABS(_xll.RtGet(SourceAlias,$Y61,BID)-Z61),4))</f>
        <v>1.1000000000000001E-3</v>
      </c>
      <c r="AN61" s="143">
        <f>IF($H61=" ","",ROUND(ABS(_xll.RtGet(SourceAlias,$Y61,ASK)-AA61),4))</f>
        <v>1.1000000000000001E-3</v>
      </c>
    </row>
    <row r="62" spans="1:40" x14ac:dyDescent="0.2">
      <c r="A62" s="192"/>
      <c r="B62" s="49" t="s">
        <v>89</v>
      </c>
      <c r="C62" s="132" t="str">
        <f>IF(Contribute="abcd",IF($E$2&lt;&gt;-1,_xll.RtContribute(SourceAlias,J62,Fields,K62:L62,"SCOPE:SERVER"),_xll.RtContribute(SourceAlias,"DDS_INSERT_S",$E$2:$G$2,J62:L62,"SCOPE:SERVER FTC:ALL")),"stopped")</f>
        <v>stopped</v>
      </c>
      <c r="D62" s="139" t="str">
        <f>IF(Contribute="abcd",IF($E$2&lt;&gt;-1,_xll.RtContribute(SourceAlias,M62,Fields,N62:O62,"SCOPE:SERVER"),_xll.RtContribute(SourceAlias,"DDS_INSERT_S",$E$2:$G$2,M62:O62,"SCOPE:SERVER FTC:ALL")),"stopped")</f>
        <v>stopped</v>
      </c>
      <c r="E62" s="132" t="str">
        <f>IF(Contribute="abcd",IF($E$2&lt;&gt;-1,_xll.RtContribute(SourceAlias,P62,Fields,Q62:R62,"SCOPE:SERVER"),_xll.RtContribute(SourceAlias,"DDS_INSERT_S",$E$2:$G$2,P62:R62,"SCOPE:SERVER FTC:ALL")),"stopped")</f>
        <v>stopped</v>
      </c>
      <c r="F62" s="132" t="str">
        <f>IF(Contribute="abcd",IF($E$2&lt;&gt;-1,_xll.RtContribute(SourceAlias,S62,Fields,T62:U62,"SCOPE:SERVER"),_xll.RtContribute(SourceAlias,"DDS_INSERT_S",$E$2:$G$2,T62:U62,"SCOPE:SERVER FTC:ALL")),"stopped")</f>
        <v>stopped</v>
      </c>
      <c r="G62" s="132" t="str">
        <f>IF(Contribute="abcd",IF($E$2&lt;&gt;-1,_xll.RtContribute(SourceAlias,V62,Fields,W62:X62,"SCOPE:SERVER"),_xll.RtContribute(SourceAlias,"DDS_INSERT_S",$E$2:$G$2,V62:X62,"SCOPE:SERVER FTC:ALL")),"stopped")</f>
        <v>stopped</v>
      </c>
      <c r="H62" s="132" t="str">
        <f>IF(Contribute="abcd",IF($E$2&lt;&gt;-1,_xll.RtContribute(SourceAlias,Y62,Fields,Z62:AA62,"SCOPE:SERVER"),_xll.RtContribute(SourceAlias,"DDS_INSERT_S",$E$2:$G$2,Y62:AA62,"SCOPE:SERVER FTC:ALL")),"stopped")</f>
        <v>stopped</v>
      </c>
      <c r="I62" s="3" t="s">
        <v>46</v>
      </c>
      <c r="J62" s="115" t="str">
        <v>USD_CURVE_1M_27Y</v>
      </c>
      <c r="K62" s="120">
        <f>IF(J62="","",'1M Pricing'!$I62*100)</f>
        <v>2.5531950783842108</v>
      </c>
      <c r="L62" s="120">
        <f t="shared" si="11"/>
        <v>2.5531950783842108</v>
      </c>
      <c r="M62" s="115" t="str">
        <v>USD_CURVE_3M_27Y</v>
      </c>
      <c r="N62" s="120">
        <f>IF(M62="","",'3M Pricing'!$I62*100)</f>
        <v>2.6602631893517188</v>
      </c>
      <c r="O62" s="116">
        <f t="shared" si="12"/>
        <v>2.6602631893517188</v>
      </c>
      <c r="P62" s="115" t="str">
        <v>USD_CURVE_6M_27Y</v>
      </c>
      <c r="Q62" s="116">
        <f>IF(P62="","",'6M Pricing'!$I62*100)</f>
        <v>2.7612818987765757</v>
      </c>
      <c r="R62" s="116">
        <f t="shared" si="13"/>
        <v>2.7612818987765757</v>
      </c>
      <c r="S62" s="115" t="str">
        <v>USD_CURVE_12M_27Y</v>
      </c>
      <c r="T62" s="116">
        <f>IF(S62="","",'1Y Pricing'!$I62*100)</f>
        <v>2.8913842197755724</v>
      </c>
      <c r="U62" s="116">
        <f t="shared" si="14"/>
        <v>2.8913842197755724</v>
      </c>
      <c r="V62" s="115" t="str">
        <v>USD_CURVE_OIS_27Y</v>
      </c>
      <c r="W62" s="120">
        <f>IF(V62="","",'ON Pricing'!$G62*100)</f>
        <v>2.44466881701887</v>
      </c>
      <c r="X62" s="120">
        <f t="shared" si="15"/>
        <v>2.44466881701887</v>
      </c>
      <c r="Y62" s="115" t="str">
        <v>USD_CURVE_STD_27Y</v>
      </c>
      <c r="Z62" s="120">
        <f>IF(Y62="","",'STD Pricing'!$G62*100)</f>
        <v>2.6585544908339336</v>
      </c>
      <c r="AA62" s="120">
        <f t="shared" si="5"/>
        <v>2.6585544908339336</v>
      </c>
      <c r="AC62" s="143">
        <f>IF($C62=" ","",ROUND(ABS(_xll.RtGet(SourceAlias,$J62,BID)-K62),4))</f>
        <v>6.9999999999999999E-4</v>
      </c>
      <c r="AD62" s="143">
        <f>IF($C62=" ","",ROUND(ABS(_xll.RtGet(SourceAlias,$J62,ASK)-L62),4))</f>
        <v>6.9999999999999999E-4</v>
      </c>
      <c r="AE62" s="143">
        <f>IF($D62=" ","",ROUND(ABS(_xll.RtGet(SourceAlias,$M62,BID)-N62),4))</f>
        <v>6.9999999999999999E-4</v>
      </c>
      <c r="AF62" s="143">
        <f>IF($D62=" ","",ROUND(ABS(_xll.RtGet(SourceAlias,$M62,ASK)-O62),4))</f>
        <v>6.9999999999999999E-4</v>
      </c>
      <c r="AG62" s="143">
        <f>IF($E62=" ","",ROUND(ABS(_xll.RtGet(SourceAlias,$P62,BID)-Q62),4))</f>
        <v>6.9999999999999999E-4</v>
      </c>
      <c r="AH62" s="143">
        <f>IF($E62=" ","",ROUND(ABS(_xll.RtGet(SourceAlias,$P62,ASK)-R62),4))</f>
        <v>6.9999999999999999E-4</v>
      </c>
      <c r="AI62" s="143">
        <f>IF($F62=" ","",ROUND(ABS(_xll.RtGet(SourceAlias,$S62,BID)-T62),4))</f>
        <v>6.9999999999999999E-4</v>
      </c>
      <c r="AJ62" s="143">
        <f>IF($F62=" ","",ROUND(ABS(_xll.RtGet(SourceAlias,$S62,ASK)-U62),4))</f>
        <v>6.9999999999999999E-4</v>
      </c>
      <c r="AK62" s="143">
        <f>IF($G62=" ","",ROUND(ABS(_xll.RtGet(SourceAlias,$V62,BID)-W62),4))</f>
        <v>0</v>
      </c>
      <c r="AL62" s="143">
        <f>IF($G62=" ","",ROUND(ABS(_xll.RtGet(SourceAlias,$V62,ASK)-X62),4))</f>
        <v>0</v>
      </c>
      <c r="AM62" s="143">
        <f>IF($H62=" ","",ROUND(ABS(_xll.RtGet(SourceAlias,$Y62,BID)-Z62),4))</f>
        <v>1.6999999999999999E-3</v>
      </c>
      <c r="AN62" s="143">
        <f>IF($H62=" ","",ROUND(ABS(_xll.RtGet(SourceAlias,$Y62,ASK)-AA62),4))</f>
        <v>1.6999999999999999E-3</v>
      </c>
    </row>
    <row r="63" spans="1:40" x14ac:dyDescent="0.2">
      <c r="A63" s="192"/>
      <c r="B63" s="49" t="s">
        <v>90</v>
      </c>
      <c r="C63" s="132" t="str">
        <f>IF(Contribute="abcd",IF($E$2&lt;&gt;-1,_xll.RtContribute(SourceAlias,J63,Fields,K63:L63,"SCOPE:SERVER"),_xll.RtContribute(SourceAlias,"DDS_INSERT_S",$E$2:$G$2,J63:L63,"SCOPE:SERVER FTC:ALL")),"stopped")</f>
        <v>stopped</v>
      </c>
      <c r="D63" s="139" t="str">
        <f>IF(Contribute="abcd",IF($E$2&lt;&gt;-1,_xll.RtContribute(SourceAlias,M63,Fields,N63:O63,"SCOPE:SERVER"),_xll.RtContribute(SourceAlias,"DDS_INSERT_S",$E$2:$G$2,M63:O63,"SCOPE:SERVER FTC:ALL")),"stopped")</f>
        <v>stopped</v>
      </c>
      <c r="E63" s="132" t="str">
        <f>IF(Contribute="abcd",IF($E$2&lt;&gt;-1,_xll.RtContribute(SourceAlias,P63,Fields,Q63:R63,"SCOPE:SERVER"),_xll.RtContribute(SourceAlias,"DDS_INSERT_S",$E$2:$G$2,P63:R63,"SCOPE:SERVER FTC:ALL")),"stopped")</f>
        <v>stopped</v>
      </c>
      <c r="F63" s="132" t="str">
        <f>IF(Contribute="abcd",IF($E$2&lt;&gt;-1,_xll.RtContribute(SourceAlias,S63,Fields,T63:U63,"SCOPE:SERVER"),_xll.RtContribute(SourceAlias,"DDS_INSERT_S",$E$2:$G$2,T63:U63,"SCOPE:SERVER FTC:ALL")),"stopped")</f>
        <v>stopped</v>
      </c>
      <c r="G63" s="132" t="str">
        <f>IF(Contribute="abcd",IF($E$2&lt;&gt;-1,_xll.RtContribute(SourceAlias,V63,Fields,W63:X63,"SCOPE:SERVER"),_xll.RtContribute(SourceAlias,"DDS_INSERT_S",$E$2:$G$2,V63:X63,"SCOPE:SERVER FTC:ALL")),"stopped")</f>
        <v>stopped</v>
      </c>
      <c r="H63" s="132" t="str">
        <f>IF(Contribute="abcd",IF($E$2&lt;&gt;-1,_xll.RtContribute(SourceAlias,Y63,Fields,Z63:AA63,"SCOPE:SERVER"),_xll.RtContribute(SourceAlias,"DDS_INSERT_S",$E$2:$G$2,Y63:AA63,"SCOPE:SERVER FTC:ALL")),"stopped")</f>
        <v>stopped</v>
      </c>
      <c r="I63" s="3" t="s">
        <v>46</v>
      </c>
      <c r="J63" s="115" t="str">
        <v>USD_CURVE_1M_28Y</v>
      </c>
      <c r="K63" s="120">
        <f>IF(J63="","",'1M Pricing'!$I63*100)</f>
        <v>2.5597630897980261</v>
      </c>
      <c r="L63" s="120">
        <f t="shared" si="11"/>
        <v>2.5597630897980261</v>
      </c>
      <c r="M63" s="115" t="str">
        <v>USD_CURVE_3M_28Y</v>
      </c>
      <c r="N63" s="120">
        <f>IF(M63="","",'3M Pricing'!$I63*100)</f>
        <v>2.6672773316215252</v>
      </c>
      <c r="O63" s="116">
        <f t="shared" si="12"/>
        <v>2.6672773316215252</v>
      </c>
      <c r="P63" s="115" t="str">
        <v>USD_CURVE_6M_28Y</v>
      </c>
      <c r="Q63" s="116">
        <f>IF(P63="","",'6M Pricing'!$I63*100)</f>
        <v>2.7682781456904291</v>
      </c>
      <c r="R63" s="116">
        <f t="shared" si="13"/>
        <v>2.7682781456904291</v>
      </c>
      <c r="S63" s="115" t="str">
        <v>USD_CURVE_12M_28Y</v>
      </c>
      <c r="T63" s="116">
        <f>IF(S63="","",'1Y Pricing'!$I63*100)</f>
        <v>2.898769336310743</v>
      </c>
      <c r="U63" s="116">
        <f t="shared" si="14"/>
        <v>2.898769336310743</v>
      </c>
      <c r="V63" s="115" t="str">
        <v>USD_CURVE_OIS_28Y</v>
      </c>
      <c r="W63" s="120">
        <f>IF(V63="","",'ON Pricing'!$G63*100)</f>
        <v>2.4516915324743054</v>
      </c>
      <c r="X63" s="120">
        <f t="shared" si="15"/>
        <v>2.4516915324743054</v>
      </c>
      <c r="Y63" s="115" t="str">
        <v>USD_CURVE_STD_28Y</v>
      </c>
      <c r="Z63" s="120">
        <f>IF(Y63="","",'STD Pricing'!$G63*100)</f>
        <v>2.6655339347080447</v>
      </c>
      <c r="AA63" s="120">
        <f t="shared" si="5"/>
        <v>2.6655339347080447</v>
      </c>
      <c r="AC63" s="143">
        <f>IF($C63=" ","",ROUND(ABS(_xll.RtGet(SourceAlias,$J63,BID)-K63),4))</f>
        <v>5.0000000000000001E-4</v>
      </c>
      <c r="AD63" s="143">
        <f>IF($C63=" ","",ROUND(ABS(_xll.RtGet(SourceAlias,$J63,ASK)-L63),4))</f>
        <v>5.0000000000000001E-4</v>
      </c>
      <c r="AE63" s="143">
        <f>IF($D63=" ","",ROUND(ABS(_xll.RtGet(SourceAlias,$M63,BID)-N63),4))</f>
        <v>4.0000000000000002E-4</v>
      </c>
      <c r="AF63" s="143">
        <f>IF($D63=" ","",ROUND(ABS(_xll.RtGet(SourceAlias,$M63,ASK)-O63),4))</f>
        <v>4.0000000000000002E-4</v>
      </c>
      <c r="AG63" s="143">
        <f>IF($E63=" ","",ROUND(ABS(_xll.RtGet(SourceAlias,$P63,BID)-Q63),4))</f>
        <v>4.0000000000000002E-4</v>
      </c>
      <c r="AH63" s="143">
        <f>IF($E63=" ","",ROUND(ABS(_xll.RtGet(SourceAlias,$P63,ASK)-R63),4))</f>
        <v>4.0000000000000002E-4</v>
      </c>
      <c r="AI63" s="143">
        <f>IF($F63=" ","",ROUND(ABS(_xll.RtGet(SourceAlias,$S63,BID)-T63),4))</f>
        <v>4.0000000000000002E-4</v>
      </c>
      <c r="AJ63" s="143">
        <f>IF($F63=" ","",ROUND(ABS(_xll.RtGet(SourceAlias,$S63,ASK)-U63),4))</f>
        <v>4.0000000000000002E-4</v>
      </c>
      <c r="AK63" s="143">
        <f>IF($G63=" ","",ROUND(ABS(_xll.RtGet(SourceAlias,$V63,BID)-W63),4))</f>
        <v>0</v>
      </c>
      <c r="AL63" s="143">
        <f>IF($G63=" ","",ROUND(ABS(_xll.RtGet(SourceAlias,$V63,ASK)-X63),4))</f>
        <v>0</v>
      </c>
      <c r="AM63" s="143">
        <f>IF($H63=" ","",ROUND(ABS(_xll.RtGet(SourceAlias,$Y63,BID)-Z63),4))</f>
        <v>1.4E-3</v>
      </c>
      <c r="AN63" s="143">
        <f>IF($H63=" ","",ROUND(ABS(_xll.RtGet(SourceAlias,$Y63,ASK)-AA63),4))</f>
        <v>1.4E-3</v>
      </c>
    </row>
    <row r="64" spans="1:40" x14ac:dyDescent="0.2">
      <c r="A64" s="192"/>
      <c r="B64" s="49" t="s">
        <v>91</v>
      </c>
      <c r="C64" s="132" t="str">
        <f>IF(Contribute="abcd",IF($E$2&lt;&gt;-1,_xll.RtContribute(SourceAlias,J64,Fields,K64:L64,"SCOPE:SERVER"),_xll.RtContribute(SourceAlias,"DDS_INSERT_S",$E$2:$G$2,J64:L64,"SCOPE:SERVER FTC:ALL")),"stopped")</f>
        <v>stopped</v>
      </c>
      <c r="D64" s="139" t="str">
        <f>IF(Contribute="abcd",IF($E$2&lt;&gt;-1,_xll.RtContribute(SourceAlias,M64,Fields,N64:O64,"SCOPE:SERVER"),_xll.RtContribute(SourceAlias,"DDS_INSERT_S",$E$2:$G$2,M64:O64,"SCOPE:SERVER FTC:ALL")),"stopped")</f>
        <v>stopped</v>
      </c>
      <c r="E64" s="132" t="str">
        <f>IF(Contribute="abcd",IF($E$2&lt;&gt;-1,_xll.RtContribute(SourceAlias,P64,Fields,Q64:R64,"SCOPE:SERVER"),_xll.RtContribute(SourceAlias,"DDS_INSERT_S",$E$2:$G$2,P64:R64,"SCOPE:SERVER FTC:ALL")),"stopped")</f>
        <v>stopped</v>
      </c>
      <c r="F64" s="132" t="str">
        <f>IF(Contribute="abcd",IF($E$2&lt;&gt;-1,_xll.RtContribute(SourceAlias,S64,Fields,T64:U64,"SCOPE:SERVER"),_xll.RtContribute(SourceAlias,"DDS_INSERT_S",$E$2:$G$2,T64:U64,"SCOPE:SERVER FTC:ALL")),"stopped")</f>
        <v>stopped</v>
      </c>
      <c r="G64" s="132" t="str">
        <f>IF(Contribute="abcd",IF($E$2&lt;&gt;-1,_xll.RtContribute(SourceAlias,V64,Fields,W64:X64,"SCOPE:SERVER"),_xll.RtContribute(SourceAlias,"DDS_INSERT_S",$E$2:$G$2,V64:X64,"SCOPE:SERVER FTC:ALL")),"stopped")</f>
        <v>stopped</v>
      </c>
      <c r="H64" s="132" t="str">
        <f>IF(Contribute="abcd",IF($E$2&lt;&gt;-1,_xll.RtContribute(SourceAlias,Y64,Fields,Z64:AA64,"SCOPE:SERVER"),_xll.RtContribute(SourceAlias,"DDS_INSERT_S",$E$2:$G$2,Y64:AA64,"SCOPE:SERVER FTC:ALL")),"stopped")</f>
        <v>stopped</v>
      </c>
      <c r="I64" s="3" t="s">
        <v>46</v>
      </c>
      <c r="J64" s="115" t="str">
        <v>USD_CURVE_1M_29Y</v>
      </c>
      <c r="K64" s="120">
        <f>IF(J64="","",'1M Pricing'!$I64*100)</f>
        <v>2.5656594139934001</v>
      </c>
      <c r="L64" s="120">
        <f t="shared" si="11"/>
        <v>2.5656594139934001</v>
      </c>
      <c r="M64" s="115" t="str">
        <v>USD_CURVE_3M_29Y</v>
      </c>
      <c r="N64" s="120">
        <f>IF(M64="","",'3M Pricing'!$I64*100)</f>
        <v>2.6735719450607496</v>
      </c>
      <c r="O64" s="116">
        <f t="shared" si="12"/>
        <v>2.6735719450607496</v>
      </c>
      <c r="P64" s="115" t="str">
        <v>USD_CURVE_6M_29Y</v>
      </c>
      <c r="Q64" s="116">
        <f>IF(P64="","",'6M Pricing'!$I64*100)</f>
        <v>2.7745414647696953</v>
      </c>
      <c r="R64" s="116">
        <f t="shared" si="13"/>
        <v>2.7745414647696953</v>
      </c>
      <c r="S64" s="115" t="str">
        <v>USD_CURVE_12M_29Y</v>
      </c>
      <c r="T64" s="116">
        <f>IF(S64="","",'1Y Pricing'!$I64*100)</f>
        <v>2.9054472217658516</v>
      </c>
      <c r="U64" s="116">
        <f t="shared" si="14"/>
        <v>2.9054472217658516</v>
      </c>
      <c r="V64" s="115" t="str">
        <v>USD_CURVE_OIS_29Y</v>
      </c>
      <c r="W64" s="120">
        <f>IF(V64="","",'ON Pricing'!$G64*100)</f>
        <v>2.4578514249298333</v>
      </c>
      <c r="X64" s="120">
        <f t="shared" si="15"/>
        <v>2.4578514249298333</v>
      </c>
      <c r="Y64" s="115" t="str">
        <v>USD_CURVE_STD_29Y</v>
      </c>
      <c r="Z64" s="120">
        <f>IF(Y64="","",'STD Pricing'!$G64*100)</f>
        <v>2.6723943838896234</v>
      </c>
      <c r="AA64" s="120">
        <f t="shared" si="5"/>
        <v>2.6723943838896234</v>
      </c>
      <c r="AC64" s="143">
        <f>IF($C64=" ","",ROUND(ABS(_xll.RtGet(SourceAlias,$J64,BID)-K64),4))</f>
        <v>2.0000000000000001E-4</v>
      </c>
      <c r="AD64" s="143">
        <f>IF($C64=" ","",ROUND(ABS(_xll.RtGet(SourceAlias,$J64,ASK)-L64),4))</f>
        <v>2.0000000000000001E-4</v>
      </c>
      <c r="AE64" s="143">
        <f>IF($D64=" ","",ROUND(ABS(_xll.RtGet(SourceAlias,$M64,BID)-N64),4))</f>
        <v>2.0000000000000001E-4</v>
      </c>
      <c r="AF64" s="143">
        <f>IF($D64=" ","",ROUND(ABS(_xll.RtGet(SourceAlias,$M64,ASK)-O64),4))</f>
        <v>2.0000000000000001E-4</v>
      </c>
      <c r="AG64" s="143">
        <f>IF($E64=" ","",ROUND(ABS(_xll.RtGet(SourceAlias,$P64,BID)-Q64),4))</f>
        <v>2.0000000000000001E-4</v>
      </c>
      <c r="AH64" s="143">
        <f>IF($E64=" ","",ROUND(ABS(_xll.RtGet(SourceAlias,$P64,ASK)-R64),4))</f>
        <v>2.0000000000000001E-4</v>
      </c>
      <c r="AI64" s="143">
        <f>IF($F64=" ","",ROUND(ABS(_xll.RtGet(SourceAlias,$S64,BID)-T64),4))</f>
        <v>2.0000000000000001E-4</v>
      </c>
      <c r="AJ64" s="143">
        <f>IF($F64=" ","",ROUND(ABS(_xll.RtGet(SourceAlias,$S64,ASK)-U64),4))</f>
        <v>2.0000000000000001E-4</v>
      </c>
      <c r="AK64" s="143">
        <f>IF($G64=" ","",ROUND(ABS(_xll.RtGet(SourceAlias,$V64,BID)-W64),4))</f>
        <v>0</v>
      </c>
      <c r="AL64" s="143">
        <f>IF($G64=" ","",ROUND(ABS(_xll.RtGet(SourceAlias,$V64,ASK)-X64),4))</f>
        <v>0</v>
      </c>
      <c r="AM64" s="143">
        <f>IF($H64=" ","",ROUND(ABS(_xll.RtGet(SourceAlias,$Y64,BID)-Z64),4))</f>
        <v>1E-3</v>
      </c>
      <c r="AN64" s="143">
        <f>IF($H64=" ","",ROUND(ABS(_xll.RtGet(SourceAlias,$Y64,ASK)-AA64),4))</f>
        <v>1E-3</v>
      </c>
    </row>
    <row r="65" spans="1:40" x14ac:dyDescent="0.2">
      <c r="A65" s="192"/>
      <c r="B65" s="49" t="s">
        <v>92</v>
      </c>
      <c r="C65" s="132" t="str">
        <f>IF(Contribute="abcd",IF($E$2&lt;&gt;-1,_xll.RtContribute(SourceAlias,J65,Fields,K65:L65,"SCOPE:SERVER"),_xll.RtContribute(SourceAlias,"DDS_INSERT_S",$E$2:$G$2,J65:L65,"SCOPE:SERVER FTC:ALL")),"stopped")</f>
        <v>stopped</v>
      </c>
      <c r="D65" s="139" t="str">
        <f>IF(Contribute="abcd",IF($E$2&lt;&gt;-1,_xll.RtContribute(SourceAlias,M65,Fields,N65:O65,"SCOPE:SERVER"),_xll.RtContribute(SourceAlias,"DDS_INSERT_S",$E$2:$G$2,M65:O65,"SCOPE:SERVER FTC:ALL")),"stopped")</f>
        <v>stopped</v>
      </c>
      <c r="E65" s="132" t="str">
        <f>IF(Contribute="abcd",IF($E$2&lt;&gt;-1,_xll.RtContribute(SourceAlias,P65,Fields,Q65:R65,"SCOPE:SERVER"),_xll.RtContribute(SourceAlias,"DDS_INSERT_S",$E$2:$G$2,P65:R65,"SCOPE:SERVER FTC:ALL")),"stopped")</f>
        <v>stopped</v>
      </c>
      <c r="F65" s="132" t="str">
        <f>IF(Contribute="abcd",IF($E$2&lt;&gt;-1,_xll.RtContribute(SourceAlias,S65,Fields,T65:U65,"SCOPE:SERVER"),_xll.RtContribute(SourceAlias,"DDS_INSERT_S",$E$2:$G$2,T65:U65,"SCOPE:SERVER FTC:ALL")),"stopped")</f>
        <v>stopped</v>
      </c>
      <c r="G65" s="132" t="str">
        <f>IF(Contribute="abcd",IF($E$2&lt;&gt;-1,_xll.RtContribute(SourceAlias,V65,Fields,W65:X65,"SCOPE:SERVER"),_xll.RtContribute(SourceAlias,"DDS_INSERT_S",$E$2:$G$2,V65:X65,"SCOPE:SERVER FTC:ALL")),"stopped")</f>
        <v>stopped</v>
      </c>
      <c r="H65" s="132" t="str">
        <f>IF(Contribute="abcd",IF($E$2&lt;&gt;-1,_xll.RtContribute(SourceAlias,Y65,Fields,Z65:AA65,"SCOPE:SERVER"),_xll.RtContribute(SourceAlias,"DDS_INSERT_S",$E$2:$G$2,Y65:AA65,"SCOPE:SERVER FTC:ALL")),"stopped")</f>
        <v>stopped</v>
      </c>
      <c r="I65" s="3" t="s">
        <v>46</v>
      </c>
      <c r="J65" s="115" t="str">
        <v>USD_CURVE_1M_30Y</v>
      </c>
      <c r="K65" s="120">
        <f>IF(J65="","",'1M Pricing'!$I65*100)</f>
        <v>2.5707772992051989</v>
      </c>
      <c r="L65" s="120">
        <f t="shared" si="11"/>
        <v>2.5707772992051989</v>
      </c>
      <c r="M65" s="115" t="str">
        <v>USD_CURVE_3M_30Y</v>
      </c>
      <c r="N65" s="120">
        <f>IF(M65="","",'3M Pricing'!$I65*100)</f>
        <v>2.6790000000009022</v>
      </c>
      <c r="O65" s="116">
        <f t="shared" si="12"/>
        <v>2.6790000000009022</v>
      </c>
      <c r="P65" s="115" t="str">
        <v>USD_CURVE_6M_30Y</v>
      </c>
      <c r="Q65" s="116">
        <f>IF(P65="","",'6M Pricing'!$I65*100)</f>
        <v>2.7799410711551809</v>
      </c>
      <c r="R65" s="116">
        <f t="shared" si="13"/>
        <v>2.7799410711551809</v>
      </c>
      <c r="S65" s="115" t="str">
        <v>USD_CURVE_12M_30Y</v>
      </c>
      <c r="T65" s="116">
        <f>IF(S65="","",'1Y Pricing'!$I65*100)</f>
        <v>2.9111644636445342</v>
      </c>
      <c r="U65" s="116">
        <f t="shared" si="14"/>
        <v>2.9111644636445342</v>
      </c>
      <c r="V65" s="115" t="str">
        <v>USD_CURVE_OIS_30Y</v>
      </c>
      <c r="W65" s="120">
        <f>IF(V65="","",'ON Pricing'!$G65*100)</f>
        <v>2.4629999999996297</v>
      </c>
      <c r="X65" s="120">
        <f t="shared" si="15"/>
        <v>2.4629999999996297</v>
      </c>
      <c r="Y65" s="115" t="str">
        <v>USD_CURVE_STD_30Y</v>
      </c>
      <c r="Z65" s="120">
        <f>IF(Y65="","",'STD Pricing'!$G65*100)</f>
        <v>2.6790000000000216</v>
      </c>
      <c r="AA65" s="120">
        <f t="shared" si="5"/>
        <v>2.6790000000000216</v>
      </c>
      <c r="AC65" s="143">
        <f>IF($C65=" ","",ROUND(ABS(_xll.RtGet(SourceAlias,$J65,BID)-K65),4))</f>
        <v>0</v>
      </c>
      <c r="AD65" s="143">
        <f>IF($C65=" ","",ROUND(ABS(_xll.RtGet(SourceAlias,$J65,ASK)-L65),4))</f>
        <v>0</v>
      </c>
      <c r="AE65" s="143">
        <f>IF($D65=" ","",ROUND(ABS(_xll.RtGet(SourceAlias,$M65,BID)-N65),4))</f>
        <v>0</v>
      </c>
      <c r="AF65" s="143">
        <f>IF($D65=" ","",ROUND(ABS(_xll.RtGet(SourceAlias,$M65,ASK)-O65),4))</f>
        <v>0</v>
      </c>
      <c r="AG65" s="143">
        <f>IF($E65=" ","",ROUND(ABS(_xll.RtGet(SourceAlias,$P65,BID)-Q65),4))</f>
        <v>0</v>
      </c>
      <c r="AH65" s="143">
        <f>IF($E65=" ","",ROUND(ABS(_xll.RtGet(SourceAlias,$P65,ASK)-R65),4))</f>
        <v>0</v>
      </c>
      <c r="AI65" s="143">
        <f>IF($F65=" ","",ROUND(ABS(_xll.RtGet(SourceAlias,$S65,BID)-T65),4))</f>
        <v>0</v>
      </c>
      <c r="AJ65" s="143">
        <f>IF($F65=" ","",ROUND(ABS(_xll.RtGet(SourceAlias,$S65,ASK)-U65),4))</f>
        <v>0</v>
      </c>
      <c r="AK65" s="143">
        <f>IF($G65=" ","",ROUND(ABS(_xll.RtGet(SourceAlias,$V65,BID)-W65),4))</f>
        <v>0</v>
      </c>
      <c r="AL65" s="143">
        <f>IF($G65=" ","",ROUND(ABS(_xll.RtGet(SourceAlias,$V65,ASK)-X65),4))</f>
        <v>0</v>
      </c>
      <c r="AM65" s="143">
        <f>IF($H65=" ","",ROUND(ABS(_xll.RtGet(SourceAlias,$Y65,BID)-Z65),4))</f>
        <v>0</v>
      </c>
      <c r="AN65" s="143">
        <f>IF($H65=" ","",ROUND(ABS(_xll.RtGet(SourceAlias,$Y65,ASK)-AA65),4))</f>
        <v>0</v>
      </c>
    </row>
    <row r="66" spans="1:40" x14ac:dyDescent="0.2">
      <c r="A66" s="192"/>
      <c r="B66" s="49" t="s">
        <v>93</v>
      </c>
      <c r="C66" s="132" t="str">
        <f>IF(Contribute="abcd",IF($E$2&lt;&gt;-1,_xll.RtContribute(SourceAlias,J66,Fields,K66:L66,"SCOPE:SERVER"),_xll.RtContribute(SourceAlias,"DDS_INSERT_S",$E$2:$G$2,J66:L66,"SCOPE:SERVER FTC:ALL")),"stopped")</f>
        <v>stopped</v>
      </c>
      <c r="D66" s="139" t="str">
        <f>IF(Contribute="abcd",IF($E$2&lt;&gt;-1,_xll.RtContribute(SourceAlias,M66,Fields,N66:O66,"SCOPE:SERVER"),_xll.RtContribute(SourceAlias,"DDS_INSERT_S",$E$2:$G$2,M66:O66,"SCOPE:SERVER FTC:ALL")),"stopped")</f>
        <v>stopped</v>
      </c>
      <c r="E66" s="132" t="str">
        <f>IF(Contribute="abcd",IF($E$2&lt;&gt;-1,_xll.RtContribute(SourceAlias,P66,Fields,Q66:R66,"SCOPE:SERVER"),_xll.RtContribute(SourceAlias,"DDS_INSERT_S",$E$2:$G$2,P66:R66,"SCOPE:SERVER FTC:ALL")),"stopped")</f>
        <v>stopped</v>
      </c>
      <c r="F66" s="132" t="str">
        <f>IF(Contribute="abcd",IF($E$2&lt;&gt;-1,_xll.RtContribute(SourceAlias,S66,Fields,T66:U66,"SCOPE:SERVER"),_xll.RtContribute(SourceAlias,"DDS_INSERT_S",$E$2:$G$2,T66:U66,"SCOPE:SERVER FTC:ALL")),"stopped")</f>
        <v>stopped</v>
      </c>
      <c r="G66" s="132" t="str">
        <f>IF(Contribute="abcd",IF($E$2&lt;&gt;-1,_xll.RtContribute(SourceAlias,V66,Fields,W66:X66,"SCOPE:SERVER"),_xll.RtContribute(SourceAlias,"DDS_INSERT_S",$E$2:$G$2,V66:X66,"SCOPE:SERVER FTC:ALL")),"stopped")</f>
        <v>stopped</v>
      </c>
      <c r="H66" s="132" t="str">
        <f>IF(Contribute="abcd",IF($E$2&lt;&gt;-1,_xll.RtContribute(SourceAlias,Y66,Fields,Z66:AA66,"SCOPE:SERVER"),_xll.RtContribute(SourceAlias,"DDS_INSERT_S",$E$2:$G$2,Y66:AA66,"SCOPE:SERVER FTC:ALL")),"stopped")</f>
        <v>stopped</v>
      </c>
      <c r="I66" s="3" t="s">
        <v>46</v>
      </c>
      <c r="J66" s="115" t="str">
        <v>USD_CURVE_1M_40Y</v>
      </c>
      <c r="K66" s="120">
        <f>IF(J66="","",'1M Pricing'!$I66*100)</f>
        <v>2.589771309625895</v>
      </c>
      <c r="L66" s="120">
        <f t="shared" si="11"/>
        <v>2.589771309625895</v>
      </c>
      <c r="M66" s="115" t="str">
        <v>USD_CURVE_3M_40Y</v>
      </c>
      <c r="N66" s="120">
        <f>IF(M66="","",'3M Pricing'!$I66*100)</f>
        <v>2.698000000003641</v>
      </c>
      <c r="O66" s="116">
        <f t="shared" si="12"/>
        <v>2.698000000003641</v>
      </c>
      <c r="P66" s="115" t="str">
        <v>USD_CURVE_6M_40Y</v>
      </c>
      <c r="Q66" s="116">
        <f>IF(P66="","",'6M Pricing'!$I66*100)</f>
        <v>2.7989445497843266</v>
      </c>
      <c r="R66" s="116">
        <f t="shared" si="13"/>
        <v>2.7989445497843266</v>
      </c>
      <c r="S66" s="115" t="str">
        <v>USD_CURVE_12M_40Y</v>
      </c>
      <c r="T66" s="116">
        <f>IF(S66="","",'1Y Pricing'!$I66*100)</f>
        <v>2.9301724644985736</v>
      </c>
      <c r="U66" s="116">
        <f t="shared" si="14"/>
        <v>2.9301724644985736</v>
      </c>
      <c r="V66" s="115" t="str">
        <v>USD_CURVE_OIS_40Y</v>
      </c>
      <c r="W66" s="120">
        <f>IF(V66="","",'ON Pricing'!$G66*100)</f>
        <v>2.477000000000201</v>
      </c>
      <c r="X66" s="120">
        <f t="shared" si="15"/>
        <v>2.477000000000201</v>
      </c>
      <c r="Y66" s="115" t="str">
        <v>USD_CURVE_STD_40Y</v>
      </c>
      <c r="Z66" s="120">
        <f>IF(Y66="","",'STD Pricing'!$G66*100)</f>
        <v>2.6980000000003326</v>
      </c>
      <c r="AA66" s="120">
        <f t="shared" si="5"/>
        <v>2.6980000000003326</v>
      </c>
      <c r="AC66" s="143">
        <f>IF($C66=" ","",ROUND(ABS(_xll.RtGet(SourceAlias,$J66,BID)-K66),4))</f>
        <v>0</v>
      </c>
      <c r="AD66" s="143">
        <f>IF($C66=" ","",ROUND(ABS(_xll.RtGet(SourceAlias,$J66,ASK)-L66),4))</f>
        <v>0</v>
      </c>
      <c r="AE66" s="143">
        <f>IF($D66=" ","",ROUND(ABS(_xll.RtGet(SourceAlias,$M66,BID)-N66),4))</f>
        <v>0</v>
      </c>
      <c r="AF66" s="143">
        <f>IF($D66=" ","",ROUND(ABS(_xll.RtGet(SourceAlias,$M66,ASK)-O66),4))</f>
        <v>0</v>
      </c>
      <c r="AG66" s="143">
        <f>IF($E66=" ","",ROUND(ABS(_xll.RtGet(SourceAlias,$P66,BID)-Q66),4))</f>
        <v>0</v>
      </c>
      <c r="AH66" s="143">
        <f>IF($E66=" ","",ROUND(ABS(_xll.RtGet(SourceAlias,$P66,ASK)-R66),4))</f>
        <v>0</v>
      </c>
      <c r="AI66" s="143">
        <f>IF($F66=" ","",ROUND(ABS(_xll.RtGet(SourceAlias,$S66,BID)-T66),4))</f>
        <v>0</v>
      </c>
      <c r="AJ66" s="143">
        <f>IF($F66=" ","",ROUND(ABS(_xll.RtGet(SourceAlias,$S66,ASK)-U66),4))</f>
        <v>0</v>
      </c>
      <c r="AK66" s="143">
        <f>IF($G66=" ","",ROUND(ABS(_xll.RtGet(SourceAlias,$V66,BID)-W66),4))</f>
        <v>0</v>
      </c>
      <c r="AL66" s="143">
        <f>IF($G66=" ","",ROUND(ABS(_xll.RtGet(SourceAlias,$V66,ASK)-X66),4))</f>
        <v>0</v>
      </c>
      <c r="AM66" s="143">
        <f>IF($H66=" ","",ROUND(ABS(_xll.RtGet(SourceAlias,$Y66,BID)-Z66),4))</f>
        <v>0</v>
      </c>
      <c r="AN66" s="143">
        <f>IF($H66=" ","",ROUND(ABS(_xll.RtGet(SourceAlias,$Y66,ASK)-AA66),4))</f>
        <v>0</v>
      </c>
    </row>
    <row r="67" spans="1:40" x14ac:dyDescent="0.2">
      <c r="A67" s="192"/>
      <c r="B67" s="49" t="s">
        <v>94</v>
      </c>
      <c r="C67" s="132" t="str">
        <f>IF(Contribute="abcd",IF($E$2&lt;&gt;-1,_xll.RtContribute(SourceAlias,J67,Fields,K67:L67,"SCOPE:SERVER"),_xll.RtContribute(SourceAlias,"DDS_INSERT_S",$E$2:$G$2,J67:L67,"SCOPE:SERVER FTC:ALL")),"stopped")</f>
        <v>stopped</v>
      </c>
      <c r="D67" s="139" t="str">
        <f>IF(Contribute="abcd",IF($E$2&lt;&gt;-1,_xll.RtContribute(SourceAlias,M67,Fields,N67:O67,"SCOPE:SERVER"),_xll.RtContribute(SourceAlias,"DDS_INSERT_S",$E$2:$G$2,M67:O67,"SCOPE:SERVER FTC:ALL")),"stopped")</f>
        <v>stopped</v>
      </c>
      <c r="E67" s="132" t="str">
        <f>IF(Contribute="abcd",IF($E$2&lt;&gt;-1,_xll.RtContribute(SourceAlias,P67,Fields,Q67:R67,"SCOPE:SERVER"),_xll.RtContribute(SourceAlias,"DDS_INSERT_S",$E$2:$G$2,P67:R67,"SCOPE:SERVER FTC:ALL")),"stopped")</f>
        <v>stopped</v>
      </c>
      <c r="F67" s="132" t="str">
        <f>IF(Contribute="abcd",IF($E$2&lt;&gt;-1,_xll.RtContribute(SourceAlias,S67,Fields,T67:U67,"SCOPE:SERVER"),_xll.RtContribute(SourceAlias,"DDS_INSERT_S",$E$2:$G$2,T67:U67,"SCOPE:SERVER FTC:ALL")),"stopped")</f>
        <v>stopped</v>
      </c>
      <c r="G67" s="132" t="str">
        <f>IF(Contribute="abcd",IF($E$2&lt;&gt;-1,_xll.RtContribute(SourceAlias,V67,Fields,W67:X67,"SCOPE:SERVER"),_xll.RtContribute(SourceAlias,"DDS_INSERT_S",$E$2:$G$2,V67:X67,"SCOPE:SERVER FTC:ALL")),"stopped")</f>
        <v>stopped</v>
      </c>
      <c r="H67" s="132" t="str">
        <f>IF(Contribute="abcd",IF($E$2&lt;&gt;-1,_xll.RtContribute(SourceAlias,Y67,Fields,Z67:AA67,"SCOPE:SERVER"),_xll.RtContribute(SourceAlias,"DDS_INSERT_S",$E$2:$G$2,Y67:AA67,"SCOPE:SERVER FTC:ALL")),"stopped")</f>
        <v>stopped</v>
      </c>
      <c r="I67" s="3" t="s">
        <v>46</v>
      </c>
      <c r="J67" s="115" t="str">
        <v>USD_CURVE_1M_50Y</v>
      </c>
      <c r="K67" s="120">
        <f>IF(J67="","",'1M Pricing'!$I67*100)</f>
        <v>2.5737790225914483</v>
      </c>
      <c r="L67" s="120">
        <f t="shared" si="11"/>
        <v>2.5737790225914483</v>
      </c>
      <c r="M67" s="115" t="str">
        <v>USD_CURVE_3M_50Y</v>
      </c>
      <c r="N67" s="120">
        <f>IF(M67="","",'3M Pricing'!$I67*100)</f>
        <v>2.6819999999998814</v>
      </c>
      <c r="O67" s="116">
        <f t="shared" si="12"/>
        <v>2.6819999999998814</v>
      </c>
      <c r="P67" s="115" t="str">
        <v>USD_CURVE_6M_50Y</v>
      </c>
      <c r="Q67" s="116">
        <f>IF(P67="","",'6M Pricing'!$I67*100)</f>
        <v>2.7829380333934464</v>
      </c>
      <c r="R67" s="116">
        <f t="shared" si="13"/>
        <v>2.7829380333934464</v>
      </c>
      <c r="S67" s="115" t="str">
        <v>USD_CURVE_12M_50Y</v>
      </c>
      <c r="T67" s="116">
        <f>IF(S67="","",'1Y Pricing'!$I67*100)</f>
        <v>2.914157476805145</v>
      </c>
      <c r="U67" s="116">
        <f t="shared" si="14"/>
        <v>2.914157476805145</v>
      </c>
      <c r="V67" s="115" t="str">
        <v>USD_CURVE_OIS_50Y</v>
      </c>
      <c r="W67" s="120">
        <f>IF(V67="","",'ON Pricing'!$G67*100)</f>
        <v>2.4620000000004367</v>
      </c>
      <c r="X67" s="120">
        <f t="shared" si="15"/>
        <v>2.4620000000004367</v>
      </c>
      <c r="Y67" s="115" t="str">
        <v>USD_CURVE_STD_50Y</v>
      </c>
      <c r="Z67" s="120">
        <f>IF(Y67="","",'STD Pricing'!$G67*100)</f>
        <v>2.6819999999999582</v>
      </c>
      <c r="AA67" s="120">
        <f t="shared" si="5"/>
        <v>2.6819999999999582</v>
      </c>
      <c r="AC67" s="143">
        <f>IF($C67=" ","",ROUND(ABS(_xll.RtGet(SourceAlias,$J67,BID)-K67),4))</f>
        <v>0</v>
      </c>
      <c r="AD67" s="143">
        <f>IF($C67=" ","",ROUND(ABS(_xll.RtGet(SourceAlias,$J67,ASK)-L67),4))</f>
        <v>0</v>
      </c>
      <c r="AE67" s="143">
        <f>IF($D67=" ","",ROUND(ABS(_xll.RtGet(SourceAlias,$M67,BID)-N67),4))</f>
        <v>0</v>
      </c>
      <c r="AF67" s="143">
        <f>IF($D67=" ","",ROUND(ABS(_xll.RtGet(SourceAlias,$M67,ASK)-O67),4))</f>
        <v>0</v>
      </c>
      <c r="AG67" s="143">
        <f>IF($E67=" ","",ROUND(ABS(_xll.RtGet(SourceAlias,$P67,BID)-Q67),4))</f>
        <v>0</v>
      </c>
      <c r="AH67" s="143">
        <f>IF($E67=" ","",ROUND(ABS(_xll.RtGet(SourceAlias,$P67,ASK)-R67),4))</f>
        <v>0</v>
      </c>
      <c r="AI67" s="143">
        <f>IF($F67=" ","",ROUND(ABS(_xll.RtGet(SourceAlias,$S67,BID)-T67),4))</f>
        <v>0</v>
      </c>
      <c r="AJ67" s="143">
        <f>IF($F67=" ","",ROUND(ABS(_xll.RtGet(SourceAlias,$S67,ASK)-U67),4))</f>
        <v>0</v>
      </c>
      <c r="AK67" s="143">
        <f>IF($G67=" ","",ROUND(ABS(_xll.RtGet(SourceAlias,$V67,BID)-W67),4))</f>
        <v>0</v>
      </c>
      <c r="AL67" s="143">
        <f>IF($G67=" ","",ROUND(ABS(_xll.RtGet(SourceAlias,$V67,ASK)-X67),4))</f>
        <v>0</v>
      </c>
      <c r="AM67" s="143">
        <f>IF($H67=" ","",ROUND(ABS(_xll.RtGet(SourceAlias,$Y67,BID)-Z67),4))</f>
        <v>0</v>
      </c>
      <c r="AN67" s="143">
        <f>IF($H67=" ","",ROUND(ABS(_xll.RtGet(SourceAlias,$Y67,ASK)-AA67),4))</f>
        <v>0</v>
      </c>
    </row>
    <row r="68" spans="1:40" ht="11.25" customHeight="1" x14ac:dyDescent="0.2">
      <c r="A68" s="193"/>
      <c r="B68" s="50" t="s">
        <v>95</v>
      </c>
      <c r="C68" s="133" t="str">
        <f>IF(Contribute="abcd",IF($E$2&lt;&gt;-1,_xll.RtContribute(SourceAlias,J68,Fields,K68:L68,"SCOPE:SERVER"),_xll.RtContribute(SourceAlias,"DDS_INSERT_S",$E$2:$G$2,J68:L68,"SCOPE:SERVER FTC:ALL")),"stopped")</f>
        <v>stopped</v>
      </c>
      <c r="D68" s="140" t="str">
        <f>IF(Contribute="abcd",IF($E$2&lt;&gt;-1,_xll.RtContribute(SourceAlias,M68,Fields,N68:O68,"SCOPE:SERVER"),_xll.RtContribute(SourceAlias,"DDS_INSERT_S",$E$2:$G$2,M68:O68,"SCOPE:SERVER FTC:ALL")),"stopped")</f>
        <v>stopped</v>
      </c>
      <c r="E68" s="133" t="str">
        <f>IF(Contribute="abcd",IF($E$2&lt;&gt;-1,_xll.RtContribute(SourceAlias,P68,Fields,Q68:R68,"SCOPE:SERVER"),_xll.RtContribute(SourceAlias,"DDS_INSERT_S",$E$2:$G$2,P68:R68,"SCOPE:SERVER FTC:ALL")),"stopped")</f>
        <v>stopped</v>
      </c>
      <c r="F68" s="133" t="str">
        <f>IF(Contribute="abcd",IF($E$2&lt;&gt;-1,_xll.RtContribute(SourceAlias,S68,Fields,T68:U68,"SCOPE:SERVER"),_xll.RtContribute(SourceAlias,"DDS_INSERT_S",$E$2:$G$2,T68:U68,"SCOPE:SERVER FTC:ALL")),"stopped")</f>
        <v>stopped</v>
      </c>
      <c r="G68" s="133" t="str">
        <f>IF(Contribute="abcd",IF($E$2&lt;&gt;-1,_xll.RtContribute(SourceAlias,V68,Fields,W68:X68,"SCOPE:SERVER"),_xll.RtContribute(SourceAlias,"DDS_INSERT_S",$E$2:$G$2,V68:X68,"SCOPE:SERVER FTC:ALL")),"stopped")</f>
        <v>stopped</v>
      </c>
      <c r="H68" s="133" t="str">
        <f>IF(Contribute="abcd",IF($E$2&lt;&gt;-1,_xll.RtContribute(SourceAlias,Y68,Fields,Z68:AA68,"SCOPE:SERVER"),_xll.RtContribute(SourceAlias,"DDS_INSERT_S",$E$2:$G$2,Y68:AA68,"SCOPE:SERVER FTC:ALL")),"stopped")</f>
        <v>stopped</v>
      </c>
      <c r="I68" s="3" t="s">
        <v>46</v>
      </c>
      <c r="J68" s="121" t="str">
        <v>USD_CURVE_1M_60Y</v>
      </c>
      <c r="K68" s="164">
        <f>IF(J68="","",'1M Pricing'!$I68*100)</f>
        <v>2.5588079610746894</v>
      </c>
      <c r="L68" s="164">
        <f t="shared" si="11"/>
        <v>2.5588079610746894</v>
      </c>
      <c r="M68" s="121" t="str">
        <v>USD_CURVE_3M_60Y</v>
      </c>
      <c r="N68" s="164">
        <f>IF(M68="","",'3M Pricing'!$I68*100)</f>
        <v>2.6671849136606491</v>
      </c>
      <c r="O68" s="119">
        <f t="shared" si="12"/>
        <v>2.6671849136606491</v>
      </c>
      <c r="P68" s="121" t="str">
        <v>USD_CURVE_6M_60Y</v>
      </c>
      <c r="Q68" s="119">
        <f>IF(P68="","",'6M Pricing'!$I68*100)</f>
        <v>2.7681175100735453</v>
      </c>
      <c r="R68" s="119">
        <f t="shared" si="13"/>
        <v>2.7681175100735453</v>
      </c>
      <c r="S68" s="121" t="str">
        <v>USD_CURVE_12M_60Y</v>
      </c>
      <c r="T68" s="119">
        <f>IF(S68="","",'1Y Pricing'!$I68*100)</f>
        <v>2.8993298854160106</v>
      </c>
      <c r="U68" s="119">
        <f t="shared" si="14"/>
        <v>2.8993298854160106</v>
      </c>
      <c r="V68" s="121" t="str">
        <v>USD_CURVE_OIS_60Y</v>
      </c>
      <c r="W68" s="164">
        <f>IF(V68="","",'ON Pricing'!$G68*100)</f>
        <v>2.448903821613595</v>
      </c>
      <c r="X68" s="164">
        <f t="shared" si="15"/>
        <v>2.448903821613595</v>
      </c>
      <c r="Y68" s="121" t="str">
        <v>USD_CURVE_STD_60Y</v>
      </c>
      <c r="Z68" s="164" t="e">
        <f>IF(Y68="","",'STD Pricing'!$G68*100)</f>
        <v>#NUM!</v>
      </c>
      <c r="AA68" s="164" t="e">
        <f t="shared" si="5"/>
        <v>#NUM!</v>
      </c>
      <c r="AC68" s="165">
        <f>IF($C68=" ","",ROUND(ABS(_xll.RtGet(SourceAlias,$J68,BID)-K68),4))</f>
        <v>1E-4</v>
      </c>
      <c r="AD68" s="165">
        <f>IF($C68=" ","",ROUND(ABS(_xll.RtGet(SourceAlias,$J68,ASK)-L68),4))</f>
        <v>1E-4</v>
      </c>
      <c r="AE68" s="165">
        <f>IF($D68=" ","",ROUND(ABS(_xll.RtGet(SourceAlias,$M68,BID)-N68),4))</f>
        <v>1E-4</v>
      </c>
      <c r="AF68" s="165">
        <f>IF($D68=" ","",ROUND(ABS(_xll.RtGet(SourceAlias,$M68,ASK)-O68),4))</f>
        <v>1E-4</v>
      </c>
      <c r="AG68" s="165">
        <f>IF($E68=" ","",ROUND(ABS(_xll.RtGet(SourceAlias,$P68,BID)-Q68),4))</f>
        <v>1E-4</v>
      </c>
      <c r="AH68" s="165">
        <f>IF($E68=" ","",ROUND(ABS(_xll.RtGet(SourceAlias,$P68,ASK)-R68),4))</f>
        <v>1E-4</v>
      </c>
      <c r="AI68" s="165">
        <f>IF($F68=" ","",ROUND(ABS(_xll.RtGet(SourceAlias,$S68,BID)-T68),4))</f>
        <v>1E-4</v>
      </c>
      <c r="AJ68" s="165">
        <f>IF($F68=" ","",ROUND(ABS(_xll.RtGet(SourceAlias,$S68,ASK)-U68),4))</f>
        <v>1E-4</v>
      </c>
      <c r="AK68" s="165">
        <f>IF($G68=" ","",ROUND(ABS(_xll.RtGet(SourceAlias,$V68,BID)-W68),4))</f>
        <v>0</v>
      </c>
      <c r="AL68" s="165">
        <f>IF($G68=" ","",ROUND(ABS(_xll.RtGet(SourceAlias,$V68,ASK)-X68),4))</f>
        <v>0</v>
      </c>
      <c r="AM68" s="165" t="e">
        <f>IF($H68=" ","",ROUND(ABS(_xll.RtGet(SourceAlias,$Y68,BID)-Z68),4))</f>
        <v>#NUM!</v>
      </c>
      <c r="AN68" s="165" t="e">
        <f>IF($H68=" ","",ROUND(ABS(_xll.RtGet(SourceAlias,$Y68,ASK)-AA68),4))</f>
        <v>#NUM!</v>
      </c>
    </row>
  </sheetData>
  <mergeCells count="3">
    <mergeCell ref="A6:A24"/>
    <mergeCell ref="A25:A32"/>
    <mergeCell ref="A33:A68"/>
  </mergeCells>
  <conditionalFormatting sqref="C2">
    <cfRule type="cellIs" dxfId="2" priority="3" operator="equal">
      <formula>"abcd"</formula>
    </cfRule>
  </conditionalFormatting>
  <conditionalFormatting sqref="C6:G38">
    <cfRule type="containsText" dxfId="1" priority="2" operator="containsText" text="Failure">
      <formula>NOT(ISERROR(SEARCH("Failure",C6)))</formula>
    </cfRule>
  </conditionalFormatting>
  <conditionalFormatting sqref="H6:H38">
    <cfRule type="containsText" dxfId="0" priority="1" operator="containsText" text="Failure">
      <formula>NOT(ISERROR(SEARCH("Failure",H6)))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68"/>
  <sheetViews>
    <sheetView showGridLines="0" zoomScaleNormal="100" workbookViewId="0"/>
  </sheetViews>
  <sheetFormatPr defaultColWidth="2.85546875" defaultRowHeight="11.25" outlineLevelCol="1" x14ac:dyDescent="0.2"/>
  <cols>
    <col min="1" max="1" width="2.7109375" style="4" customWidth="1"/>
    <col min="2" max="2" width="12" style="4" hidden="1" customWidth="1" outlineLevel="1"/>
    <col min="3" max="3" width="17.28515625" style="4" hidden="1" customWidth="1" outlineLevel="1"/>
    <col min="4" max="4" width="10" style="3" bestFit="1" customWidth="1" collapsed="1"/>
    <col min="5" max="5" width="15.140625" style="4" bestFit="1" customWidth="1"/>
    <col min="6" max="8" width="17.28515625" style="4" customWidth="1"/>
    <col min="9" max="9" width="8" style="97" bestFit="1" customWidth="1"/>
    <col min="10" max="10" width="26.5703125" style="4" bestFit="1" customWidth="1"/>
    <col min="11" max="11" width="26.5703125" style="4" customWidth="1"/>
    <col min="12" max="12" width="2.7109375" style="4" hidden="1" customWidth="1" outlineLevel="1"/>
    <col min="13" max="13" width="15.140625" style="4" hidden="1" customWidth="1" outlineLevel="1"/>
    <col min="14" max="14" width="2.7109375" style="4" hidden="1" customWidth="1" outlineLevel="1"/>
    <col min="15" max="15" width="14.140625" style="4" hidden="1" customWidth="1" outlineLevel="1"/>
    <col min="16" max="16" width="19.28515625" style="2" hidden="1" customWidth="1" outlineLevel="1"/>
    <col min="17" max="17" width="20.28515625" style="2" hidden="1" customWidth="1" outlineLevel="1"/>
    <col min="18" max="18" width="2.7109375" style="2" customWidth="1" collapsed="1"/>
    <col min="19" max="83" width="27.28515625" style="2" customWidth="1"/>
    <col min="84" max="16384" width="2.85546875" style="2"/>
  </cols>
  <sheetData>
    <row r="1" spans="1:19" x14ac:dyDescent="0.2">
      <c r="A1" s="37"/>
      <c r="B1" s="37"/>
      <c r="C1" s="37"/>
      <c r="D1" s="34"/>
      <c r="E1" s="35" t="s">
        <v>52</v>
      </c>
      <c r="F1" s="36" t="s">
        <v>16</v>
      </c>
      <c r="G1" s="37"/>
      <c r="H1" s="37"/>
      <c r="I1" s="98"/>
      <c r="J1" s="37"/>
      <c r="K1" s="37"/>
      <c r="L1" s="37"/>
      <c r="N1" s="37"/>
      <c r="O1" s="37"/>
      <c r="P1" s="37"/>
      <c r="Q1" s="37"/>
      <c r="R1" s="37"/>
      <c r="S1" s="23"/>
    </row>
    <row r="2" spans="1:19" x14ac:dyDescent="0.2">
      <c r="E2" s="35" t="s">
        <v>53</v>
      </c>
      <c r="F2" s="36" t="str">
        <f>Currency&amp;CurveTenor</f>
        <v>USD1M</v>
      </c>
      <c r="G2" s="37"/>
      <c r="H2" s="37"/>
      <c r="I2" s="98"/>
      <c r="J2" s="37"/>
      <c r="K2" s="37"/>
      <c r="O2" s="37"/>
      <c r="P2" s="37"/>
      <c r="Q2" s="37"/>
      <c r="R2" s="37"/>
      <c r="S2" s="23"/>
    </row>
    <row r="3" spans="1:19" x14ac:dyDescent="0.2">
      <c r="E3" s="35" t="s">
        <v>31</v>
      </c>
      <c r="F3" s="16" t="str">
        <f>IborIndexFamily&amp;CurveTenor</f>
        <v>UsdLibor1M</v>
      </c>
      <c r="G3" s="37"/>
      <c r="H3" s="37"/>
      <c r="I3" s="98"/>
      <c r="J3" s="37"/>
      <c r="K3" s="37"/>
      <c r="O3" s="37"/>
      <c r="P3" s="37"/>
      <c r="Q3" s="37"/>
      <c r="R3" s="37"/>
      <c r="S3" s="23"/>
    </row>
    <row r="4" spans="1:19" x14ac:dyDescent="0.2">
      <c r="A4" s="37"/>
      <c r="B4" s="37"/>
      <c r="C4" s="37"/>
      <c r="D4" s="34"/>
      <c r="E4" s="37"/>
      <c r="F4" s="37"/>
      <c r="G4" s="37"/>
      <c r="H4" s="37"/>
      <c r="I4" s="98"/>
      <c r="J4" s="37"/>
      <c r="K4" s="37"/>
      <c r="L4" s="37"/>
      <c r="N4" s="37"/>
      <c r="O4" s="37"/>
      <c r="P4" s="37"/>
      <c r="Q4" s="37"/>
      <c r="R4" s="37"/>
      <c r="S4" s="23"/>
    </row>
    <row r="5" spans="1:19" x14ac:dyDescent="0.2">
      <c r="A5" s="23"/>
      <c r="B5" s="23"/>
      <c r="C5" s="23"/>
      <c r="D5" s="10"/>
      <c r="E5" s="10" t="s">
        <v>37</v>
      </c>
      <c r="F5" s="10" t="s">
        <v>42</v>
      </c>
      <c r="G5" s="10" t="s">
        <v>49</v>
      </c>
      <c r="H5" s="10" t="s">
        <v>35</v>
      </c>
      <c r="I5" s="11" t="s">
        <v>34</v>
      </c>
      <c r="J5" s="11" t="s">
        <v>50</v>
      </c>
      <c r="K5" s="11" t="s">
        <v>51</v>
      </c>
      <c r="L5" s="23"/>
      <c r="M5" s="35" t="s">
        <v>64</v>
      </c>
      <c r="N5" s="34"/>
      <c r="O5" s="35" t="s">
        <v>63</v>
      </c>
      <c r="P5" s="35" t="s">
        <v>60</v>
      </c>
      <c r="Q5" s="35" t="s">
        <v>61</v>
      </c>
    </row>
    <row r="6" spans="1:19" x14ac:dyDescent="0.2">
      <c r="A6" s="23"/>
      <c r="B6" s="23"/>
      <c r="C6" s="23"/>
      <c r="D6" s="45"/>
      <c r="E6" s="62"/>
      <c r="F6" s="63"/>
      <c r="G6" s="63"/>
      <c r="H6" s="63"/>
      <c r="I6" s="60"/>
      <c r="J6" s="60"/>
      <c r="K6" s="60"/>
      <c r="L6" s="23"/>
      <c r="M6" s="111"/>
      <c r="N6" s="37"/>
      <c r="O6" s="36" t="b">
        <v>0</v>
      </c>
      <c r="P6" s="36" t="s">
        <v>100</v>
      </c>
      <c r="Q6" s="36" t="s">
        <v>99</v>
      </c>
      <c r="R6" s="37"/>
      <c r="S6" s="23"/>
    </row>
    <row r="7" spans="1:19" x14ac:dyDescent="0.2">
      <c r="A7" s="23"/>
      <c r="B7" s="23"/>
      <c r="C7" s="23"/>
      <c r="D7" s="46"/>
      <c r="E7" s="53"/>
      <c r="F7" s="54"/>
      <c r="G7" s="54"/>
      <c r="H7" s="54"/>
      <c r="I7" s="61"/>
      <c r="J7" s="61"/>
      <c r="K7" s="61"/>
      <c r="L7" s="23"/>
      <c r="M7" s="81"/>
      <c r="N7" s="34"/>
      <c r="R7" s="23"/>
      <c r="S7" s="23"/>
    </row>
    <row r="8" spans="1:19" x14ac:dyDescent="0.2">
      <c r="A8" s="23"/>
      <c r="B8" s="23"/>
      <c r="C8" s="23"/>
      <c r="D8" s="46"/>
      <c r="E8" s="53"/>
      <c r="F8" s="54"/>
      <c r="G8" s="54"/>
      <c r="H8" s="54"/>
      <c r="I8" s="61"/>
      <c r="J8" s="61"/>
      <c r="K8" s="61"/>
      <c r="L8" s="23"/>
      <c r="M8" s="52"/>
      <c r="N8" s="34"/>
      <c r="R8" s="23"/>
      <c r="S8" s="23"/>
    </row>
    <row r="9" spans="1:19" x14ac:dyDescent="0.2">
      <c r="A9" s="23"/>
      <c r="B9" s="23"/>
      <c r="C9" s="23"/>
      <c r="D9" s="46" t="s">
        <v>98</v>
      </c>
      <c r="E9" s="53" t="s">
        <v>101</v>
      </c>
      <c r="F9" s="54">
        <f>_xll.qlInterestRateIndexFixingDate(IborIndex,EffectiveDate,Trigger)</f>
        <v>42255</v>
      </c>
      <c r="G9" s="54">
        <f>_xll.qlInterestRateIndexValueDate(M9,F9)</f>
        <v>42257</v>
      </c>
      <c r="H9" s="54">
        <f>_xll.qlInterestRateIndexMaturity(M9,G9)</f>
        <v>42264</v>
      </c>
      <c r="I9" s="61">
        <f>_xll.qlIndexFixing(M9,F9,TRUE,AllTriggers)</f>
        <v>2.4961785256508557E-3</v>
      </c>
      <c r="J9" s="61" t="str">
        <f>Currency&amp;"_CURVE_DEP"&amp;CurveTenor&amp;"_"&amp;"1W"</f>
        <v>USD_CURVE_DEP1M_1W</v>
      </c>
      <c r="K9" s="61"/>
      <c r="L9" s="23"/>
      <c r="M9" s="52" t="str">
        <f>_xll.qlLibor(,Currency,D9,YieldCurve,,Trigger)</f>
        <v>obj_00385#0000</v>
      </c>
      <c r="N9" s="34"/>
      <c r="O9" s="37"/>
      <c r="P9" s="37"/>
      <c r="Q9" s="37"/>
      <c r="R9" s="23"/>
      <c r="S9" s="23"/>
    </row>
    <row r="10" spans="1:19" x14ac:dyDescent="0.2">
      <c r="A10" s="23"/>
      <c r="B10" s="23"/>
      <c r="C10" s="23"/>
      <c r="D10" s="46" t="s">
        <v>15</v>
      </c>
      <c r="E10" s="53" t="s">
        <v>101</v>
      </c>
      <c r="F10" s="54">
        <f>_xll.qlInterestRateIndexFixingDate(IborIndex,EffectiveDate,Trigger)</f>
        <v>42255</v>
      </c>
      <c r="G10" s="54">
        <f>_xll.qlInterestRateIndexValueDate(M10,F10)</f>
        <v>42257</v>
      </c>
      <c r="H10" s="54">
        <f>_xll.qlInterestRateIndexMaturity(M10,G10)</f>
        <v>42271</v>
      </c>
      <c r="I10" s="61">
        <f>_xll.qlIndexFixing(M10,F10,TRUE,AllTriggers)</f>
        <v>2.5003990689942412E-3</v>
      </c>
      <c r="J10" s="61" t="str">
        <f t="shared" ref="J10:J20" si="0">Currency&amp;"_CURVE_DEP"&amp;CurveTenor&amp;"_"&amp;D10</f>
        <v>USD_CURVE_DEP1M_2W</v>
      </c>
      <c r="K10" s="61"/>
      <c r="L10" s="23"/>
      <c r="M10" s="52" t="str">
        <f>_xll.qlLibor(,Currency,D10,YieldCurve,,Trigger)</f>
        <v>obj_00428#0000</v>
      </c>
      <c r="N10" s="34"/>
      <c r="O10" s="37"/>
      <c r="P10" s="37"/>
      <c r="Q10" s="37"/>
      <c r="R10" s="23"/>
      <c r="S10" s="23"/>
    </row>
    <row r="11" spans="1:19" x14ac:dyDescent="0.2">
      <c r="A11" s="23"/>
      <c r="B11" s="23"/>
      <c r="C11" s="23"/>
      <c r="D11" s="46" t="s">
        <v>71</v>
      </c>
      <c r="E11" s="53" t="s">
        <v>101</v>
      </c>
      <c r="F11" s="54">
        <f>_xll.qlInterestRateIndexFixingDate(IborIndex,EffectiveDate,Trigger)</f>
        <v>42255</v>
      </c>
      <c r="G11" s="54">
        <f>_xll.qlInterestRateIndexValueDate(M11,F11)</f>
        <v>42257</v>
      </c>
      <c r="H11" s="54">
        <f>_xll.qlInterestRateIndexMaturity(M11,G11)</f>
        <v>42278</v>
      </c>
      <c r="I11" s="61">
        <f>_xll.qlIndexFixing(M11,F11,TRUE,AllTriggers)</f>
        <v>2.5073934654657698E-3</v>
      </c>
      <c r="J11" s="61" t="str">
        <f t="shared" si="0"/>
        <v>USD_CURVE_DEP1M_3W</v>
      </c>
      <c r="K11" s="61"/>
      <c r="L11" s="23"/>
      <c r="M11" s="52" t="str">
        <f>_xll.qlLibor(,Currency,D11,YieldCurve,,Trigger)</f>
        <v>obj_00442#0000</v>
      </c>
      <c r="N11" s="23"/>
      <c r="O11" s="37"/>
      <c r="P11" s="37"/>
      <c r="Q11" s="37"/>
      <c r="R11" s="23"/>
      <c r="S11" s="23"/>
    </row>
    <row r="12" spans="1:19" x14ac:dyDescent="0.2">
      <c r="A12" s="23"/>
      <c r="B12" s="23"/>
      <c r="C12" s="23"/>
      <c r="D12" s="46" t="s">
        <v>16</v>
      </c>
      <c r="E12" s="53" t="s">
        <v>101</v>
      </c>
      <c r="F12" s="54">
        <f>_xll.qlInterestRateIndexFixingDate(IborIndex,EffectiveDate,Trigger)</f>
        <v>42255</v>
      </c>
      <c r="G12" s="54">
        <f>_xll.qlInterestRateIndexValueDate(IborIndex,F12)</f>
        <v>42257</v>
      </c>
      <c r="H12" s="54">
        <f>_xll.qlInterestRateIndexMaturity(IborIndex,G12)</f>
        <v>42290</v>
      </c>
      <c r="I12" s="61">
        <f>_xll.qlIndexFixing(M12,F12,TRUE,AllTriggers)</f>
        <v>2.5258385007553841E-3</v>
      </c>
      <c r="J12" s="61" t="str">
        <f t="shared" si="0"/>
        <v>USD_CURVE_DEP1M_1M</v>
      </c>
      <c r="K12" s="61"/>
      <c r="L12" s="23"/>
      <c r="M12" s="52" t="str">
        <f>_xll.qlLibor(,Currency,D12,YieldCurve,,Trigger)</f>
        <v>obj_003ed#0000</v>
      </c>
      <c r="R12" s="23"/>
      <c r="S12" s="23"/>
    </row>
    <row r="13" spans="1:19" x14ac:dyDescent="0.2">
      <c r="A13" s="23"/>
      <c r="B13" s="23"/>
      <c r="C13" s="23"/>
      <c r="D13" s="46" t="s">
        <v>17</v>
      </c>
      <c r="E13" s="53" t="s">
        <v>101</v>
      </c>
      <c r="F13" s="54">
        <f>_xll.qlInterestRateIndexFixingDate(IborIndex,EffectiveDate,Trigger)</f>
        <v>42255</v>
      </c>
      <c r="G13" s="54">
        <f>_xll.qlInterestRateIndexValueDate(M13,F13)</f>
        <v>42257</v>
      </c>
      <c r="H13" s="54">
        <f>_xll.qlInterestRateIndexMaturity(M13,G13)</f>
        <v>42318</v>
      </c>
      <c r="I13" s="61">
        <f>_xll.qlIndexFixing(M13,F13,TRUE,AllTriggers)</f>
        <v>2.6005949000452882E-3</v>
      </c>
      <c r="J13" s="61" t="str">
        <f t="shared" si="0"/>
        <v>USD_CURVE_DEP1M_2M</v>
      </c>
      <c r="K13" s="61"/>
      <c r="M13" s="52" t="str">
        <f>_xll.qlLibor(,Currency,D13,YieldCurve,,Trigger)</f>
        <v>obj_003f9#0000</v>
      </c>
      <c r="R13" s="23"/>
      <c r="S13" s="23"/>
    </row>
    <row r="14" spans="1:19" x14ac:dyDescent="0.2">
      <c r="A14" s="23"/>
      <c r="B14" s="23"/>
      <c r="C14" s="23"/>
      <c r="D14" s="46" t="s">
        <v>18</v>
      </c>
      <c r="E14" s="53" t="s">
        <v>101</v>
      </c>
      <c r="F14" s="54">
        <f>_xll.qlInterestRateIndexFixingDate(IborIndex,EffectiveDate,Trigger)</f>
        <v>42255</v>
      </c>
      <c r="G14" s="54">
        <f>_xll.qlInterestRateIndexValueDate(M14,F14)</f>
        <v>42257</v>
      </c>
      <c r="H14" s="54">
        <f>_xll.qlInterestRateIndexMaturity(M14,G14)</f>
        <v>42348</v>
      </c>
      <c r="I14" s="61">
        <f>_xll.qlIndexFixing(M14,F14,TRUE,AllTriggers)</f>
        <v>2.7299948893693212E-3</v>
      </c>
      <c r="J14" s="61" t="str">
        <f t="shared" si="0"/>
        <v>USD_CURVE_DEP1M_3M</v>
      </c>
      <c r="K14" s="61"/>
      <c r="M14" s="52" t="str">
        <f>_xll.qlLibor(,Currency,D14,YieldCurve,,Trigger)</f>
        <v>obj_003ec#0000</v>
      </c>
      <c r="R14" s="23"/>
      <c r="S14" s="23"/>
    </row>
    <row r="15" spans="1:19" x14ac:dyDescent="0.2">
      <c r="A15" s="23"/>
      <c r="B15" s="23"/>
      <c r="C15" s="23"/>
      <c r="D15" s="46" t="s">
        <v>19</v>
      </c>
      <c r="E15" s="53" t="s">
        <v>101</v>
      </c>
      <c r="F15" s="54">
        <f>_xll.qlInterestRateIndexFixingDate(IborIndex,EffectiveDate,Trigger)</f>
        <v>42255</v>
      </c>
      <c r="G15" s="54">
        <f>_xll.qlInterestRateIndexValueDate(M15,F15)</f>
        <v>42257</v>
      </c>
      <c r="H15" s="54">
        <f>_xll.qlInterestRateIndexMaturity(M15,G15)</f>
        <v>42380</v>
      </c>
      <c r="I15" s="61">
        <f>_xll.qlIndexFixing(M15,F15,TRUE,AllTriggers)</f>
        <v>2.9149878667056044E-3</v>
      </c>
      <c r="J15" s="61" t="str">
        <f t="shared" si="0"/>
        <v>USD_CURVE_DEP1M_4M</v>
      </c>
      <c r="K15" s="61"/>
      <c r="M15" s="81" t="str">
        <f>_xll.qlLibor(,Currency,D15,YieldCurve,,Trigger)</f>
        <v>obj_003df#0000</v>
      </c>
      <c r="R15" s="23"/>
      <c r="S15" s="23"/>
    </row>
    <row r="16" spans="1:19" x14ac:dyDescent="0.2">
      <c r="A16" s="23"/>
      <c r="B16" s="23"/>
      <c r="C16" s="23"/>
      <c r="D16" s="46" t="s">
        <v>20</v>
      </c>
      <c r="E16" s="53" t="s">
        <v>101</v>
      </c>
      <c r="F16" s="54">
        <f>_xll.qlInterestRateIndexFixingDate(IborIndex,EffectiveDate,Trigger)</f>
        <v>42255</v>
      </c>
      <c r="G16" s="54">
        <f>_xll.qlInterestRateIndexValueDate(M16,F16)</f>
        <v>42257</v>
      </c>
      <c r="H16" s="54">
        <f>_xll.qlInterestRateIndexMaturity(M16,G16)</f>
        <v>42410</v>
      </c>
      <c r="I16" s="61">
        <f>_xll.qlIndexFixing(M16,F16,TRUE,AllTriggers)</f>
        <v>3.1048510671382494E-3</v>
      </c>
      <c r="J16" s="61" t="str">
        <f t="shared" si="0"/>
        <v>USD_CURVE_DEP1M_5M</v>
      </c>
      <c r="K16" s="61"/>
      <c r="M16" s="52" t="str">
        <f>_xll.qlLibor(,Currency,D16,YieldCurve,,Trigger)</f>
        <v>obj_00443#0000</v>
      </c>
      <c r="R16" s="23"/>
      <c r="S16" s="23"/>
    </row>
    <row r="17" spans="1:19" x14ac:dyDescent="0.2">
      <c r="A17" s="23"/>
      <c r="B17" s="23"/>
      <c r="C17" s="23"/>
      <c r="D17" s="46" t="s">
        <v>13</v>
      </c>
      <c r="E17" s="53" t="s">
        <v>101</v>
      </c>
      <c r="F17" s="54">
        <f>_xll.qlInterestRateIndexFixingDate(IborIndex,EffectiveDate,Trigger)</f>
        <v>42255</v>
      </c>
      <c r="G17" s="54">
        <f>_xll.qlInterestRateIndexValueDate(M17,F17)</f>
        <v>42257</v>
      </c>
      <c r="H17" s="54">
        <f>_xll.qlInterestRateIndexMaturity(M17,G17)</f>
        <v>42439</v>
      </c>
      <c r="I17" s="61">
        <f>_xll.qlIndexFixing(M17,F17,TRUE,AllTriggers)</f>
        <v>3.2903763651585434E-3</v>
      </c>
      <c r="J17" s="61" t="str">
        <f t="shared" si="0"/>
        <v>USD_CURVE_DEP1M_6M</v>
      </c>
      <c r="K17" s="61"/>
      <c r="M17" s="52" t="str">
        <f>_xll.qlLibor(,Currency,D17,YieldCurve,,Trigger)</f>
        <v>obj_003de#0000</v>
      </c>
      <c r="R17" s="23"/>
      <c r="S17" s="23"/>
    </row>
    <row r="18" spans="1:19" x14ac:dyDescent="0.2">
      <c r="A18" s="23"/>
      <c r="B18" s="23"/>
      <c r="C18" s="23"/>
      <c r="D18" s="46" t="s">
        <v>65</v>
      </c>
      <c r="E18" s="53" t="s">
        <v>101</v>
      </c>
      <c r="F18" s="54">
        <f>_xll.qlInterestRateIndexFixingDate(IborIndex,EffectiveDate,Trigger)</f>
        <v>42255</v>
      </c>
      <c r="G18" s="54">
        <f>_xll.qlInterestRateIndexValueDate(M18,F18)</f>
        <v>42257</v>
      </c>
      <c r="H18" s="54">
        <f>_xll.qlInterestRateIndexMaturity(M18,G18)</f>
        <v>42471</v>
      </c>
      <c r="I18" s="61">
        <f>_xll.qlIndexFixing(M18,F18,TRUE,AllTriggers)</f>
        <v>3.4929209923527838E-3</v>
      </c>
      <c r="J18" s="61" t="str">
        <f t="shared" si="0"/>
        <v>USD_CURVE_DEP1M_7M</v>
      </c>
      <c r="K18" s="61"/>
      <c r="M18" s="52" t="str">
        <f>_xll.qlLibor(,Currency,D18,YieldCurve,,Trigger)</f>
        <v>obj_00427#0000</v>
      </c>
      <c r="R18" s="23"/>
      <c r="S18" s="23"/>
    </row>
    <row r="19" spans="1:19" x14ac:dyDescent="0.2">
      <c r="A19" s="23"/>
      <c r="B19" s="23"/>
      <c r="C19" s="23"/>
      <c r="D19" s="46" t="s">
        <v>66</v>
      </c>
      <c r="E19" s="53" t="s">
        <v>101</v>
      </c>
      <c r="F19" s="54">
        <f>_xll.qlInterestRateIndexFixingDate(IborIndex,EffectiveDate,Trigger)</f>
        <v>42255</v>
      </c>
      <c r="G19" s="54">
        <f>_xll.qlInterestRateIndexValueDate(M19,F19)</f>
        <v>42257</v>
      </c>
      <c r="H19" s="54">
        <f>_xll.qlInterestRateIndexMaturity(M19,G19)</f>
        <v>42500</v>
      </c>
      <c r="I19" s="61">
        <f>_xll.qlIndexFixing(M19,F19,TRUE,AllTriggers)</f>
        <v>3.6779483102441952E-3</v>
      </c>
      <c r="J19" s="61" t="str">
        <f t="shared" si="0"/>
        <v>USD_CURVE_DEP1M_8M</v>
      </c>
      <c r="K19" s="61"/>
      <c r="M19" s="81" t="str">
        <f>_xll.qlLibor(,Currency,D19,YieldCurve,,Trigger)</f>
        <v>obj_00415#0000</v>
      </c>
      <c r="R19" s="23"/>
      <c r="S19" s="23"/>
    </row>
    <row r="20" spans="1:19" x14ac:dyDescent="0.2">
      <c r="A20" s="23"/>
      <c r="B20" s="23"/>
      <c r="C20" s="23"/>
      <c r="D20" s="46" t="s">
        <v>21</v>
      </c>
      <c r="E20" s="53" t="s">
        <v>101</v>
      </c>
      <c r="F20" s="54">
        <f>_xll.qlInterestRateIndexFixingDate(IborIndex,EffectiveDate,Trigger)</f>
        <v>42255</v>
      </c>
      <c r="G20" s="54">
        <f>_xll.qlInterestRateIndexValueDate(M20,F20)</f>
        <v>42257</v>
      </c>
      <c r="H20" s="54">
        <f>_xll.qlInterestRateIndexMaturity(M20,G20)</f>
        <v>42531</v>
      </c>
      <c r="I20" s="61">
        <f>_xll.qlIndexFixing(M20,F20,TRUE,AllTriggers)</f>
        <v>3.8805600716245027E-3</v>
      </c>
      <c r="J20" s="61" t="str">
        <f t="shared" si="0"/>
        <v>USD_CURVE_DEP1M_9M</v>
      </c>
      <c r="K20" s="61"/>
      <c r="M20" s="52" t="str">
        <f>_xll.qlLibor(,Currency,D20,YieldCurve,,Trigger)</f>
        <v>obj_003f8#0000</v>
      </c>
      <c r="R20" s="23"/>
      <c r="S20" s="23"/>
    </row>
    <row r="21" spans="1:19" x14ac:dyDescent="0.2">
      <c r="A21" s="23"/>
      <c r="B21" s="23"/>
      <c r="C21" s="23"/>
      <c r="D21" s="46"/>
      <c r="E21" s="53"/>
      <c r="F21" s="54"/>
      <c r="G21" s="54"/>
      <c r="H21" s="54"/>
      <c r="I21" s="61"/>
      <c r="J21" s="61"/>
      <c r="K21" s="61"/>
      <c r="M21" s="52"/>
      <c r="R21" s="23"/>
      <c r="S21" s="23"/>
    </row>
    <row r="22" spans="1:19" x14ac:dyDescent="0.2">
      <c r="A22" s="23"/>
      <c r="B22" s="23"/>
      <c r="C22" s="23"/>
      <c r="D22" s="46"/>
      <c r="E22" s="53"/>
      <c r="F22" s="54"/>
      <c r="G22" s="54"/>
      <c r="H22" s="54"/>
      <c r="I22" s="61"/>
      <c r="J22" s="61"/>
      <c r="K22" s="61"/>
      <c r="M22" s="52"/>
      <c r="R22" s="23"/>
      <c r="S22" s="23"/>
    </row>
    <row r="23" spans="1:19" x14ac:dyDescent="0.2">
      <c r="A23" s="23"/>
      <c r="B23" s="23"/>
      <c r="C23" s="23"/>
      <c r="D23" s="46"/>
      <c r="E23" s="53"/>
      <c r="F23" s="54"/>
      <c r="G23" s="54"/>
      <c r="H23" s="54"/>
      <c r="I23" s="61"/>
      <c r="J23" s="61"/>
      <c r="K23" s="61"/>
      <c r="M23" s="58"/>
      <c r="R23" s="23"/>
      <c r="S23" s="23"/>
    </row>
    <row r="24" spans="1:19" x14ac:dyDescent="0.2">
      <c r="A24" s="23"/>
      <c r="B24" s="23">
        <f>_xll.qlDayCounterYearFraction("actual/360",SettlementDate,C24,,,Trigger)</f>
        <v>0.52222222222222225</v>
      </c>
      <c r="C24" s="168">
        <f>_xll.qlIMMNextDate(_xll.qlIMMNextCode(_xll.qlIMMNextCode(EvaluationDate+FuturesRollDays)))</f>
        <v>42445</v>
      </c>
      <c r="D24" s="170" t="str">
        <f>"#"&amp;YEAR(C24)&amp;IF(LEN(MONTH(C24))=1,"0","")&amp;MONTH(C24)&amp;IF(LEN(DAY(C24))=1,"0","")&amp;DAY(C24)</f>
        <v>#20160316</v>
      </c>
      <c r="E24" s="171" t="s">
        <v>116</v>
      </c>
      <c r="F24" s="172"/>
      <c r="G24" s="172"/>
      <c r="H24" s="172"/>
      <c r="I24" s="173">
        <f>(_xll.qlYieldTSDiscount(YieldCurve,SettlementDate,,AllTriggers)/_xll.qlYieldTSDiscount(YieldCurve,C24,,AllTriggers)-1)/B24</f>
        <v>3.3284626499925788E-3</v>
      </c>
      <c r="J24" s="173" t="str">
        <f>Currency&amp;"_CURVE_DEP"&amp;CurveTenor&amp;"_"&amp;D24</f>
        <v>USD_CURVE_DEP1M_#20160316</v>
      </c>
      <c r="K24" s="173"/>
      <c r="M24" s="35" t="s">
        <v>122</v>
      </c>
      <c r="R24" s="23"/>
      <c r="S24" s="23"/>
    </row>
    <row r="25" spans="1:19" x14ac:dyDescent="0.2">
      <c r="A25" s="23"/>
      <c r="B25" s="23"/>
      <c r="C25" s="23" t="b">
        <v>1</v>
      </c>
      <c r="D25" s="106" t="str">
        <f t="array" ref="D25:D32">_xll.qlIMMNextCodes(EvaluationDate,C25:C32)</f>
        <v>U5</v>
      </c>
      <c r="E25" s="62" t="s">
        <v>105</v>
      </c>
      <c r="F25" s="63">
        <f>_xll.qlInterestRateIndexFixingDate(IborIndex,G25)</f>
        <v>42261</v>
      </c>
      <c r="G25" s="63">
        <f>_xll.qlIMMdate(D25,,Trigger)</f>
        <v>42263</v>
      </c>
      <c r="H25" s="63">
        <f>_xll.qlInterestRateIndexMaturity(IborIndex,G25)</f>
        <v>42293</v>
      </c>
      <c r="I25" s="189">
        <f>(1-_xll.qlIndexFixing($M$25,F25,TRUE,Trigger))*100</f>
        <v>99.722067821266052</v>
      </c>
      <c r="J25" s="61" t="str">
        <f t="shared" ref="J25:J32" si="1">Currency&amp;"_CURVE_"&amp;E25&amp;CurveTenor&amp;"_"&amp;D25</f>
        <v>USD_CURVE_FUT1M_U5</v>
      </c>
      <c r="K25" s="61"/>
      <c r="M25" s="65" t="str">
        <f>_xll.qlLibor(,Currency,"3M",YieldCurve,,Trigger)</f>
        <v>obj_00384#0000</v>
      </c>
      <c r="R25" s="23"/>
      <c r="S25" s="23"/>
    </row>
    <row r="26" spans="1:19" x14ac:dyDescent="0.2">
      <c r="A26" s="23"/>
      <c r="B26" s="23"/>
      <c r="C26" s="23" t="b">
        <v>1</v>
      </c>
      <c r="D26" s="102" t="str">
        <v>Z5</v>
      </c>
      <c r="E26" s="53" t="s">
        <v>105</v>
      </c>
      <c r="F26" s="54">
        <f>_xll.qlInterestRateIndexFixingDate(IborIndex,G26)</f>
        <v>42352</v>
      </c>
      <c r="G26" s="54">
        <f>_xll.qlIMMdate(D26,,Trigger)</f>
        <v>42354</v>
      </c>
      <c r="H26" s="54">
        <f>_xll.qlInterestRateIndexMaturity(IborIndex,G26)</f>
        <v>42388</v>
      </c>
      <c r="I26" s="190">
        <f>(1-_xll.qlIndexFixing($M$25,F26,TRUE,Trigger))*100</f>
        <v>99.607062370086211</v>
      </c>
      <c r="J26" s="61" t="str">
        <f t="shared" si="1"/>
        <v>USD_CURVE_FUT1M_Z5</v>
      </c>
      <c r="K26" s="61"/>
      <c r="R26" s="23"/>
      <c r="S26" s="23"/>
    </row>
    <row r="27" spans="1:19" x14ac:dyDescent="0.2">
      <c r="A27" s="23"/>
      <c r="B27" s="23"/>
      <c r="C27" s="23" t="b">
        <v>1</v>
      </c>
      <c r="D27" s="102" t="str">
        <v>H6</v>
      </c>
      <c r="E27" s="53" t="s">
        <v>105</v>
      </c>
      <c r="F27" s="54">
        <f>_xll.qlInterestRateIndexFixingDate(IborIndex,G27)</f>
        <v>42443</v>
      </c>
      <c r="G27" s="54">
        <f>_xll.qlIMMdate(D27,,Trigger)</f>
        <v>42445</v>
      </c>
      <c r="H27" s="54">
        <f>_xll.qlInterestRateIndexMaturity(IborIndex,G27)</f>
        <v>42478</v>
      </c>
      <c r="I27" s="190">
        <f>(1-_xll.qlIndexFixing($M$25,F27,TRUE,Trigger))*100</f>
        <v>99.487826134659358</v>
      </c>
      <c r="J27" s="61" t="str">
        <f t="shared" si="1"/>
        <v>USD_CURVE_FUT1M_H6</v>
      </c>
      <c r="K27" s="61"/>
      <c r="R27" s="23"/>
      <c r="S27" s="23"/>
    </row>
    <row r="28" spans="1:19" x14ac:dyDescent="0.2">
      <c r="A28" s="23"/>
      <c r="B28" s="23"/>
      <c r="C28" s="23" t="b">
        <v>1</v>
      </c>
      <c r="D28" s="102" t="str">
        <v>M6</v>
      </c>
      <c r="E28" s="53" t="s">
        <v>105</v>
      </c>
      <c r="F28" s="54">
        <f>_xll.qlInterestRateIndexFixingDate(IborIndex,G28)</f>
        <v>42534</v>
      </c>
      <c r="G28" s="54">
        <f>_xll.qlIMMdate(D28,,Trigger)</f>
        <v>42536</v>
      </c>
      <c r="H28" s="54">
        <f>_xll.qlInterestRateIndexMaturity(IborIndex,G28)</f>
        <v>42566</v>
      </c>
      <c r="I28" s="190">
        <f>(1-_xll.qlIndexFixing($M$25,F28,TRUE,Trigger))*100</f>
        <v>99.346593316291134</v>
      </c>
      <c r="J28" s="61" t="str">
        <f t="shared" si="1"/>
        <v>USD_CURVE_FUT1M_M6</v>
      </c>
      <c r="K28" s="61"/>
      <c r="R28" s="23"/>
      <c r="S28" s="23"/>
    </row>
    <row r="29" spans="1:19" x14ac:dyDescent="0.2">
      <c r="A29" s="23"/>
      <c r="B29" s="23"/>
      <c r="C29" s="23" t="b">
        <v>1</v>
      </c>
      <c r="D29" s="102" t="str">
        <v>U6</v>
      </c>
      <c r="E29" s="53" t="s">
        <v>105</v>
      </c>
      <c r="F29" s="54">
        <f>_xll.qlInterestRateIndexFixingDate(IborIndex,G29)</f>
        <v>42632</v>
      </c>
      <c r="G29" s="54">
        <f>_xll.qlIMMdate(D29,,Trigger)</f>
        <v>42634</v>
      </c>
      <c r="H29" s="54">
        <f>_xll.qlInterestRateIndexMaturity(IborIndex,G29)</f>
        <v>42664</v>
      </c>
      <c r="I29" s="190">
        <f>(1-_xll.qlIndexFixing($M$25,F29,TRUE,Trigger))*100</f>
        <v>99.169201595070277</v>
      </c>
      <c r="J29" s="61" t="str">
        <f t="shared" si="1"/>
        <v>USD_CURVE_FUT1M_U6</v>
      </c>
      <c r="K29" s="61"/>
      <c r="R29" s="23"/>
      <c r="S29" s="23"/>
    </row>
    <row r="30" spans="1:19" x14ac:dyDescent="0.2">
      <c r="A30" s="23"/>
      <c r="B30" s="23"/>
      <c r="C30" s="23" t="b">
        <v>1</v>
      </c>
      <c r="D30" s="102" t="str">
        <v>Z6</v>
      </c>
      <c r="E30" s="53" t="s">
        <v>105</v>
      </c>
      <c r="F30" s="54">
        <f>_xll.qlInterestRateIndexFixingDate(IborIndex,G30)</f>
        <v>42723</v>
      </c>
      <c r="G30" s="54">
        <f>_xll.qlIMMdate(D30,,Trigger)</f>
        <v>42725</v>
      </c>
      <c r="H30" s="54">
        <f>_xll.qlInterestRateIndexMaturity(IborIndex,G30)</f>
        <v>42758</v>
      </c>
      <c r="I30" s="190">
        <f>(1-_xll.qlIndexFixing($M$25,F30,TRUE,Trigger))*100</f>
        <v>99.011183194811011</v>
      </c>
      <c r="J30" s="61" t="str">
        <f t="shared" si="1"/>
        <v>USD_CURVE_FUT1M_Z6</v>
      </c>
      <c r="K30" s="61"/>
      <c r="R30" s="23"/>
      <c r="S30" s="23"/>
    </row>
    <row r="31" spans="1:19" x14ac:dyDescent="0.2">
      <c r="A31" s="23"/>
      <c r="B31" s="23"/>
      <c r="C31" s="23" t="b">
        <v>1</v>
      </c>
      <c r="D31" s="102" t="str">
        <v>H7</v>
      </c>
      <c r="E31" s="53" t="s">
        <v>105</v>
      </c>
      <c r="F31" s="54">
        <f>_xll.qlInterestRateIndexFixingDate(IborIndex,G31)</f>
        <v>42807</v>
      </c>
      <c r="G31" s="54">
        <f>_xll.qlIMMdate(D31,,Trigger)</f>
        <v>42809</v>
      </c>
      <c r="H31" s="54">
        <f>_xll.qlInterestRateIndexMaturity(IborIndex,G31)</f>
        <v>42843</v>
      </c>
      <c r="I31" s="190">
        <f>(1-_xll.qlIndexFixing($M$25,F31,TRUE,Trigger))*100</f>
        <v>98.87432952772275</v>
      </c>
      <c r="J31" s="61" t="str">
        <f t="shared" si="1"/>
        <v>USD_CURVE_FUT1M_H7</v>
      </c>
      <c r="K31" s="61"/>
      <c r="R31" s="23"/>
      <c r="S31" s="23"/>
    </row>
    <row r="32" spans="1:19" x14ac:dyDescent="0.2">
      <c r="A32" s="23"/>
      <c r="B32" s="23"/>
      <c r="C32" s="23" t="b">
        <v>1</v>
      </c>
      <c r="D32" s="102" t="str">
        <v>M7</v>
      </c>
      <c r="E32" s="53" t="s">
        <v>105</v>
      </c>
      <c r="F32" s="54">
        <f>_xll.qlInterestRateIndexFixingDate(IborIndex,G32)</f>
        <v>42905</v>
      </c>
      <c r="G32" s="54">
        <f>_xll.qlIMMdate(D32,,Trigger)</f>
        <v>42907</v>
      </c>
      <c r="H32" s="54">
        <f>_xll.qlInterestRateIndexMaturity(IborIndex,G32)</f>
        <v>42937</v>
      </c>
      <c r="I32" s="190">
        <f>(1-_xll.qlIndexFixing($M$25,F32,TRUE,Trigger))*100</f>
        <v>98.730473162885772</v>
      </c>
      <c r="J32" s="61" t="str">
        <f t="shared" si="1"/>
        <v>USD_CURVE_FUT1M_M7</v>
      </c>
      <c r="K32" s="61"/>
      <c r="M32" s="59" t="s">
        <v>36</v>
      </c>
      <c r="N32" s="34"/>
      <c r="O32" s="35" t="s">
        <v>32</v>
      </c>
      <c r="P32" s="35" t="s">
        <v>54</v>
      </c>
      <c r="Q32" s="35" t="s">
        <v>33</v>
      </c>
      <c r="R32" s="23"/>
      <c r="S32" s="23"/>
    </row>
    <row r="33" spans="4:19" x14ac:dyDescent="0.2">
      <c r="D33" s="45" t="s">
        <v>22</v>
      </c>
      <c r="E33" s="62" t="s">
        <v>98</v>
      </c>
      <c r="F33" s="63">
        <f>_xll.qlInterestRateIndexFixingDate(IborIndex,EffectiveDate,Trigger)</f>
        <v>42255</v>
      </c>
      <c r="G33" s="63">
        <f>_xll.qlInterestRateIndexValueDate(M33,F33)</f>
        <v>42257</v>
      </c>
      <c r="H33" s="63">
        <f>_xll.qlInterestRateIndexMaturity(M33,G33)</f>
        <v>42625</v>
      </c>
      <c r="I33" s="60">
        <f>_xll.qlIndexFixing(M33,F33,TRUE,AllTriggers)</f>
        <v>4.5015135568312568E-3</v>
      </c>
      <c r="J33" s="60" t="str">
        <f t="shared" ref="J33:J61" si="2">Currency&amp;"_CURVE_"&amp;CurveTenor&amp;"_"&amp;D33</f>
        <v>USD_CURVE_1M_1Y</v>
      </c>
      <c r="K33" s="60" t="s">
        <v>157</v>
      </c>
      <c r="L33" s="51"/>
      <c r="M33" s="52" t="str">
        <f>_xll.qlSwapIndex(,"NoFix",D33,2,Currency,Calendar,$O$33,$P$33,$Q$33,IborIndex,DiscountingCurve,,Trigger)</f>
        <v>obj_0044d#0000</v>
      </c>
      <c r="N33" s="34"/>
      <c r="O33" s="36" t="s">
        <v>22</v>
      </c>
      <c r="P33" s="36" t="s">
        <v>39</v>
      </c>
      <c r="Q33" s="36" t="s">
        <v>99</v>
      </c>
      <c r="S33" s="23"/>
    </row>
    <row r="34" spans="4:19" x14ac:dyDescent="0.2">
      <c r="D34" s="46"/>
      <c r="E34" s="53"/>
      <c r="F34" s="54"/>
      <c r="G34" s="54"/>
      <c r="H34" s="54"/>
      <c r="I34" s="61"/>
      <c r="J34" s="61"/>
      <c r="K34" s="61"/>
      <c r="L34" s="51"/>
      <c r="M34" s="52"/>
      <c r="N34" s="34"/>
      <c r="O34" s="37"/>
      <c r="P34" s="37"/>
      <c r="Q34" s="37"/>
      <c r="S34" s="23"/>
    </row>
    <row r="35" spans="4:19" x14ac:dyDescent="0.2">
      <c r="D35" s="46"/>
      <c r="E35" s="13"/>
      <c r="F35" s="54"/>
      <c r="G35" s="54"/>
      <c r="H35" s="54"/>
      <c r="I35" s="61"/>
      <c r="J35" s="61"/>
      <c r="K35" s="61"/>
      <c r="L35" s="51"/>
      <c r="M35" s="52"/>
      <c r="N35" s="34"/>
      <c r="O35" s="37"/>
      <c r="P35" s="37"/>
      <c r="Q35" s="37"/>
      <c r="S35" s="23"/>
    </row>
    <row r="36" spans="4:19" x14ac:dyDescent="0.2">
      <c r="D36" s="46"/>
      <c r="E36" s="13"/>
      <c r="F36" s="54"/>
      <c r="G36" s="54"/>
      <c r="H36" s="54"/>
      <c r="I36" s="61"/>
      <c r="J36" s="61"/>
      <c r="K36" s="61"/>
      <c r="L36" s="51"/>
      <c r="M36" s="52"/>
      <c r="N36" s="34"/>
      <c r="O36" s="37"/>
      <c r="P36" s="37"/>
      <c r="Q36" s="37"/>
      <c r="S36" s="23"/>
    </row>
    <row r="37" spans="4:19" x14ac:dyDescent="0.2">
      <c r="D37" s="46" t="s">
        <v>23</v>
      </c>
      <c r="E37" s="13" t="s">
        <v>98</v>
      </c>
      <c r="F37" s="54">
        <f>_xll.qlInterestRateIndexFixingDate(IborIndex,EffectiveDate,Trigger)</f>
        <v>42255</v>
      </c>
      <c r="G37" s="54">
        <f>_xll.qlInterestRateIndexValueDate(M37,F37)</f>
        <v>42257</v>
      </c>
      <c r="H37" s="54">
        <f>_xll.qlInterestRateIndexMaturity(M37,G37)</f>
        <v>42989</v>
      </c>
      <c r="I37" s="61">
        <f>_xll.qlIndexFixing(M37,F37,TRUE,AllTriggers)</f>
        <v>7.4672697851493573E-3</v>
      </c>
      <c r="J37" s="61" t="str">
        <f t="shared" si="2"/>
        <v>USD_CURVE_1M_2Y</v>
      </c>
      <c r="K37" s="61" t="s">
        <v>158</v>
      </c>
      <c r="L37" s="51"/>
      <c r="M37" s="52" t="str">
        <f>_xll.qlSwapIndex(,"NoFix",D37,2,Currency,Calendar,$O$33,$P$33,$Q$33,IborIndex,DiscountingCurve,,Trigger)</f>
        <v>obj_00439#0000</v>
      </c>
      <c r="N37" s="34"/>
      <c r="O37" s="37"/>
      <c r="P37" s="37"/>
      <c r="Q37" s="37"/>
      <c r="S37" s="23"/>
    </row>
    <row r="38" spans="4:19" x14ac:dyDescent="0.2">
      <c r="D38" s="46" t="s">
        <v>24</v>
      </c>
      <c r="E38" s="13" t="s">
        <v>98</v>
      </c>
      <c r="F38" s="54">
        <f>_xll.qlInterestRateIndexFixingDate(IborIndex,EffectiveDate,Trigger)</f>
        <v>42255</v>
      </c>
      <c r="G38" s="54">
        <f>_xll.qlInterestRateIndexValueDate(M38,F38)</f>
        <v>42257</v>
      </c>
      <c r="H38" s="54">
        <f>_xll.qlInterestRateIndexMaturity(M38,G38)</f>
        <v>43353</v>
      </c>
      <c r="I38" s="61">
        <f>_xll.qlIndexFixing(M38,F38,TRUE,AllTriggers)</f>
        <v>1.0135354028291894E-2</v>
      </c>
      <c r="J38" s="61" t="str">
        <f t="shared" si="2"/>
        <v>USD_CURVE_1M_3Y</v>
      </c>
      <c r="K38" s="61" t="s">
        <v>159</v>
      </c>
      <c r="L38" s="23"/>
      <c r="M38" s="52" t="str">
        <f>_xll.qlSwapIndex(,"NoFix",D38,2,Currency,Calendar,$O$33,$P$33,$Q$33,IborIndex,DiscountingCurve,,Trigger)</f>
        <v>obj_00406#0000</v>
      </c>
      <c r="N38" s="34"/>
      <c r="O38" s="37"/>
      <c r="P38" s="34"/>
      <c r="Q38" s="37"/>
      <c r="S38" s="23"/>
    </row>
    <row r="39" spans="4:19" x14ac:dyDescent="0.2">
      <c r="D39" s="46" t="s">
        <v>25</v>
      </c>
      <c r="E39" s="13" t="s">
        <v>98</v>
      </c>
      <c r="F39" s="54">
        <f>_xll.qlInterestRateIndexFixingDate(IborIndex,EffectiveDate,Trigger)</f>
        <v>42255</v>
      </c>
      <c r="G39" s="54">
        <f>_xll.qlInterestRateIndexValueDate(M39,F39)</f>
        <v>42257</v>
      </c>
      <c r="H39" s="54">
        <f>_xll.qlInterestRateIndexMaturity(M39,G39)</f>
        <v>43718</v>
      </c>
      <c r="I39" s="61">
        <f>_xll.qlIndexFixing(M39,F39,TRUE,AllTriggers)</f>
        <v>1.2473753686383038E-2</v>
      </c>
      <c r="J39" s="61" t="str">
        <f t="shared" si="2"/>
        <v>USD_CURVE_1M_4Y</v>
      </c>
      <c r="K39" s="61" t="s">
        <v>160</v>
      </c>
      <c r="L39" s="23"/>
      <c r="M39" s="52" t="str">
        <f>_xll.qlSwapIndex(,"NoFix",D39,2,Currency,Calendar,$O$33,$P$33,$Q$33,IborIndex,DiscountingCurve,,Trigger)</f>
        <v>obj_0044a#0000</v>
      </c>
      <c r="N39" s="34"/>
      <c r="O39" s="37"/>
      <c r="P39" s="37"/>
      <c r="Q39" s="34"/>
      <c r="S39" s="23"/>
    </row>
    <row r="40" spans="4:19" x14ac:dyDescent="0.2">
      <c r="D40" s="46" t="s">
        <v>26</v>
      </c>
      <c r="E40" s="13" t="s">
        <v>98</v>
      </c>
      <c r="F40" s="54">
        <f>_xll.qlInterestRateIndexFixingDate(IborIndex,EffectiveDate,Trigger)</f>
        <v>42255</v>
      </c>
      <c r="G40" s="54">
        <f>_xll.qlInterestRateIndexValueDate(M40,F40)</f>
        <v>42257</v>
      </c>
      <c r="H40" s="54">
        <f>_xll.qlInterestRateIndexMaturity(M40,G40)</f>
        <v>44084</v>
      </c>
      <c r="I40" s="61">
        <f>_xll.qlIndexFixing(M40,F40,TRUE,AllTriggers)</f>
        <v>1.4502348912289287E-2</v>
      </c>
      <c r="J40" s="61" t="str">
        <f t="shared" si="2"/>
        <v>USD_CURVE_1M_5Y</v>
      </c>
      <c r="K40" s="61" t="s">
        <v>161</v>
      </c>
      <c r="L40" s="23"/>
      <c r="M40" s="52" t="str">
        <f>_xll.qlSwapIndex(,"NoFix",D40,2,Currency,Calendar,$O$33,$P$33,$Q$33,IborIndex,DiscountingCurve,,Trigger)</f>
        <v>obj_00420#0000</v>
      </c>
      <c r="N40" s="34"/>
      <c r="O40" s="37"/>
      <c r="P40" s="34"/>
      <c r="Q40" s="37"/>
      <c r="S40" s="23"/>
    </row>
    <row r="41" spans="4:19" x14ac:dyDescent="0.2">
      <c r="D41" s="46" t="s">
        <v>72</v>
      </c>
      <c r="E41" s="13" t="s">
        <v>98</v>
      </c>
      <c r="F41" s="54">
        <f>_xll.qlInterestRateIndexFixingDate(IborIndex,EffectiveDate,Trigger)</f>
        <v>42255</v>
      </c>
      <c r="G41" s="54">
        <f>_xll.qlInterestRateIndexValueDate(M41,F41)</f>
        <v>42257</v>
      </c>
      <c r="H41" s="54">
        <f>_xll.qlInterestRateIndexMaturity(M41,G41)</f>
        <v>44449</v>
      </c>
      <c r="I41" s="61">
        <f>_xll.qlIndexFixing(M41,F41,TRUE,AllTriggers)</f>
        <v>1.6271435245909831E-2</v>
      </c>
      <c r="J41" s="61" t="str">
        <f t="shared" si="2"/>
        <v>USD_CURVE_1M_6Y</v>
      </c>
      <c r="K41" s="61" t="s">
        <v>162</v>
      </c>
      <c r="L41" s="23"/>
      <c r="M41" s="52" t="str">
        <f>_xll.qlSwapIndex(,"NoFix",D41,2,Currency,Calendar,$O$33,$P$33,$Q$33,IborIndex,DiscountingCurve,,Trigger)</f>
        <v>obj_003d8#0000</v>
      </c>
      <c r="N41" s="34"/>
      <c r="O41" s="37"/>
      <c r="P41" s="34"/>
      <c r="Q41" s="37"/>
      <c r="S41" s="23"/>
    </row>
    <row r="42" spans="4:19" x14ac:dyDescent="0.2">
      <c r="D42" s="46" t="s">
        <v>27</v>
      </c>
      <c r="E42" s="13" t="s">
        <v>98</v>
      </c>
      <c r="F42" s="54">
        <f>_xll.qlInterestRateIndexFixingDate(IborIndex,EffectiveDate,Trigger)</f>
        <v>42255</v>
      </c>
      <c r="G42" s="54">
        <f>_xll.qlInterestRateIndexValueDate(M42,F42)</f>
        <v>42257</v>
      </c>
      <c r="H42" s="54">
        <f>_xll.qlInterestRateIndexMaturity(M42,G42)</f>
        <v>44816</v>
      </c>
      <c r="I42" s="61">
        <f>_xll.qlIndexFixing(M42,F42,TRUE,AllTriggers)</f>
        <v>1.778086372509111E-2</v>
      </c>
      <c r="J42" s="61" t="str">
        <f t="shared" si="2"/>
        <v>USD_CURVE_1M_7Y</v>
      </c>
      <c r="K42" s="61" t="s">
        <v>163</v>
      </c>
      <c r="L42" s="23"/>
      <c r="M42" s="52" t="str">
        <f>_xll.qlSwapIndex(,"NoFix",D42,2,Currency,Calendar,$O$33,$P$33,$Q$33,IborIndex,DiscountingCurve,,Trigger)</f>
        <v>obj_0043e#0000</v>
      </c>
      <c r="N42" s="34"/>
      <c r="O42" s="37"/>
      <c r="P42" s="34"/>
      <c r="Q42" s="37"/>
      <c r="S42" s="23"/>
    </row>
    <row r="43" spans="4:19" x14ac:dyDescent="0.2">
      <c r="D43" s="46" t="s">
        <v>73</v>
      </c>
      <c r="E43" s="13" t="s">
        <v>98</v>
      </c>
      <c r="F43" s="54">
        <f>_xll.qlInterestRateIndexFixingDate(IborIndex,EffectiveDate,Trigger)</f>
        <v>42255</v>
      </c>
      <c r="G43" s="54">
        <f>_xll.qlInterestRateIndexValueDate(M43,F43)</f>
        <v>42257</v>
      </c>
      <c r="H43" s="54">
        <f>_xll.qlInterestRateIndexMaturity(M43,G43)</f>
        <v>45180</v>
      </c>
      <c r="I43" s="61">
        <f>_xll.qlIndexFixing(M43,F43,TRUE,AllTriggers)</f>
        <v>1.9030486219144591E-2</v>
      </c>
      <c r="J43" s="61" t="str">
        <f t="shared" si="2"/>
        <v>USD_CURVE_1M_8Y</v>
      </c>
      <c r="K43" s="61" t="s">
        <v>164</v>
      </c>
      <c r="L43" s="23"/>
      <c r="M43" s="52" t="str">
        <f>_xll.qlSwapIndex(,"NoFix",D43,2,Currency,Calendar,$O$33,$P$33,$Q$33,IborIndex,DiscountingCurve,,Trigger)</f>
        <v>obj_00422#0000</v>
      </c>
      <c r="N43" s="37"/>
      <c r="O43" s="37"/>
      <c r="P43" s="23"/>
      <c r="Q43" s="23"/>
      <c r="S43" s="23"/>
    </row>
    <row r="44" spans="4:19" x14ac:dyDescent="0.2">
      <c r="D44" s="46" t="s">
        <v>74</v>
      </c>
      <c r="E44" s="13" t="s">
        <v>98</v>
      </c>
      <c r="F44" s="54">
        <f>_xll.qlInterestRateIndexFixingDate(IborIndex,EffectiveDate,Trigger)</f>
        <v>42255</v>
      </c>
      <c r="G44" s="54">
        <f>_xll.qlInterestRateIndexValueDate(M44,F44)</f>
        <v>42257</v>
      </c>
      <c r="H44" s="54">
        <f>_xll.qlInterestRateIndexMaturity(M44,G44)</f>
        <v>45545</v>
      </c>
      <c r="I44" s="61">
        <f>_xll.qlIndexFixing(M44,F44,TRUE,AllTriggers)</f>
        <v>2.0070301774834196E-2</v>
      </c>
      <c r="J44" s="61" t="str">
        <f t="shared" si="2"/>
        <v>USD_CURVE_1M_9Y</v>
      </c>
      <c r="K44" s="61" t="s">
        <v>165</v>
      </c>
      <c r="L44" s="23"/>
      <c r="M44" s="52" t="str">
        <f>_xll.qlSwapIndex(,"NoFix",D44,2,Currency,Calendar,$O$33,$P$33,$Q$33,IborIndex,DiscountingCurve,,Trigger)</f>
        <v>obj_0044e#0000</v>
      </c>
      <c r="N44" s="37"/>
      <c r="O44" s="37"/>
      <c r="P44" s="23"/>
      <c r="Q44" s="23"/>
      <c r="S44" s="23"/>
    </row>
    <row r="45" spans="4:19" x14ac:dyDescent="0.2">
      <c r="D45" s="46" t="s">
        <v>28</v>
      </c>
      <c r="E45" s="13" t="s">
        <v>98</v>
      </c>
      <c r="F45" s="54">
        <f>_xll.qlInterestRateIndexFixingDate(IborIndex,EffectiveDate,Trigger)</f>
        <v>42255</v>
      </c>
      <c r="G45" s="54">
        <f>_xll.qlInterestRateIndexValueDate(M45,F45)</f>
        <v>42257</v>
      </c>
      <c r="H45" s="54">
        <f>_xll.qlInterestRateIndexMaturity(M45,G45)</f>
        <v>45910</v>
      </c>
      <c r="I45" s="61">
        <f>_xll.qlIndexFixing(M45,F45,TRUE,AllTriggers)</f>
        <v>2.0930167266054664E-2</v>
      </c>
      <c r="J45" s="61" t="str">
        <f t="shared" si="2"/>
        <v>USD_CURVE_1M_10Y</v>
      </c>
      <c r="K45" s="61" t="s">
        <v>166</v>
      </c>
      <c r="L45" s="23"/>
      <c r="M45" s="52" t="str">
        <f>_xll.qlSwapIndex(,"NoFix",D45,2,Currency,Calendar,$O$33,$P$33,$Q$33,IborIndex,DiscountingCurve,,Trigger)</f>
        <v>obj_003e9#0000</v>
      </c>
      <c r="N45" s="37"/>
      <c r="O45" s="37"/>
      <c r="P45" s="23"/>
      <c r="Q45" s="23"/>
      <c r="S45" s="23"/>
    </row>
    <row r="46" spans="4:19" x14ac:dyDescent="0.2">
      <c r="D46" s="46" t="s">
        <v>75</v>
      </c>
      <c r="E46" s="13" t="s">
        <v>98</v>
      </c>
      <c r="F46" s="54">
        <f>_xll.qlInterestRateIndexFixingDate(IborIndex,EffectiveDate,Trigger)</f>
        <v>42255</v>
      </c>
      <c r="G46" s="54">
        <f>_xll.qlInterestRateIndexValueDate(M46,F46)</f>
        <v>42257</v>
      </c>
      <c r="H46" s="54">
        <f>_xll.qlInterestRateIndexMaturity(M46,G46)</f>
        <v>46275</v>
      </c>
      <c r="I46" s="61">
        <f>_xll.qlIndexFixing(M46,F46,TRUE,AllTriggers)</f>
        <v>2.1669190548978427E-2</v>
      </c>
      <c r="J46" s="61" t="str">
        <f t="shared" si="2"/>
        <v>USD_CURVE_1M_11Y</v>
      </c>
      <c r="K46" s="61" t="s">
        <v>167</v>
      </c>
      <c r="L46" s="37"/>
      <c r="M46" s="52" t="str">
        <f>_xll.qlSwapIndex(,"NoFix",D46,2,Currency,Calendar,$O$33,$P$33,$Q$33,IborIndex,DiscountingCurve,,Trigger)</f>
        <v>obj_003f4#0000</v>
      </c>
      <c r="N46" s="37"/>
      <c r="O46" s="37"/>
      <c r="P46" s="23"/>
      <c r="Q46" s="23"/>
    </row>
    <row r="47" spans="4:19" x14ac:dyDescent="0.2">
      <c r="D47" s="46" t="s">
        <v>29</v>
      </c>
      <c r="E47" s="13" t="s">
        <v>98</v>
      </c>
      <c r="F47" s="54">
        <f>_xll.qlInterestRateIndexFixingDate(IborIndex,EffectiveDate,Trigger)</f>
        <v>42255</v>
      </c>
      <c r="G47" s="54">
        <f>_xll.qlInterestRateIndexValueDate(M47,F47)</f>
        <v>42257</v>
      </c>
      <c r="H47" s="54">
        <f>_xll.qlInterestRateIndexMaturity(M47,G47)</f>
        <v>46640</v>
      </c>
      <c r="I47" s="61">
        <f>_xll.qlIndexFixing(M47,F47,TRUE,AllTriggers)</f>
        <v>2.229993699378453E-2</v>
      </c>
      <c r="J47" s="61" t="str">
        <f t="shared" si="2"/>
        <v>USD_CURVE_1M_12Y</v>
      </c>
      <c r="K47" s="61" t="s">
        <v>168</v>
      </c>
      <c r="L47" s="37"/>
      <c r="M47" s="52" t="str">
        <f>_xll.qlSwapIndex(,"NoFix",D47,2,Currency,Calendar,$O$33,$P$33,$Q$33,IborIndex,DiscountingCurve,,Trigger)</f>
        <v>obj_00433#0000</v>
      </c>
      <c r="O47" s="37"/>
    </row>
    <row r="48" spans="4:19" x14ac:dyDescent="0.2">
      <c r="D48" s="46" t="s">
        <v>76</v>
      </c>
      <c r="E48" s="13" t="s">
        <v>98</v>
      </c>
      <c r="F48" s="54">
        <f>_xll.qlInterestRateIndexFixingDate(IborIndex,EffectiveDate,Trigger)</f>
        <v>42255</v>
      </c>
      <c r="G48" s="54">
        <f>_xll.qlInterestRateIndexValueDate(M48,F48)</f>
        <v>42257</v>
      </c>
      <c r="H48" s="54">
        <f>_xll.qlInterestRateIndexMaturity(M48,G48)</f>
        <v>47007</v>
      </c>
      <c r="I48" s="61">
        <f>_xll.qlIndexFixing(M48,F48,TRUE,AllTriggers)</f>
        <v>2.2829710874834177E-2</v>
      </c>
      <c r="J48" s="61" t="str">
        <f t="shared" si="2"/>
        <v>USD_CURVE_1M_13Y</v>
      </c>
      <c r="K48" s="61" t="s">
        <v>169</v>
      </c>
      <c r="M48" s="52" t="str">
        <f>_xll.qlSwapIndex(,"NoFix",D48,2,Currency,Calendar,$O$33,$P$33,$Q$33,IborIndex,DiscountingCurve,,Trigger)</f>
        <v>obj_00407#0000</v>
      </c>
      <c r="O48" s="37"/>
    </row>
    <row r="49" spans="4:15" x14ac:dyDescent="0.2">
      <c r="D49" s="46" t="s">
        <v>77</v>
      </c>
      <c r="E49" s="13" t="s">
        <v>98</v>
      </c>
      <c r="F49" s="54">
        <f>_xll.qlInterestRateIndexFixingDate(IborIndex,EffectiveDate,Trigger)</f>
        <v>42255</v>
      </c>
      <c r="G49" s="54">
        <f>_xll.qlInterestRateIndexValueDate(M49,F49)</f>
        <v>42257</v>
      </c>
      <c r="H49" s="54">
        <f>_xll.qlInterestRateIndexMaturity(M49,G49)</f>
        <v>47371</v>
      </c>
      <c r="I49" s="61">
        <f>_xll.qlIndexFixing(M49,F49,TRUE,AllTriggers)</f>
        <v>2.3268968788337972E-2</v>
      </c>
      <c r="J49" s="61" t="str">
        <f t="shared" si="2"/>
        <v>USD_CURVE_1M_14Y</v>
      </c>
      <c r="K49" s="61" t="s">
        <v>170</v>
      </c>
      <c r="M49" s="52" t="str">
        <f>_xll.qlSwapIndex(,"NoFix",D49,2,Currency,Calendar,$O$33,$P$33,$Q$33,IborIndex,DiscountingCurve,,Trigger)</f>
        <v>obj_0042c#0000</v>
      </c>
      <c r="O49" s="37"/>
    </row>
    <row r="50" spans="4:15" x14ac:dyDescent="0.2">
      <c r="D50" s="46" t="s">
        <v>30</v>
      </c>
      <c r="E50" s="13" t="s">
        <v>98</v>
      </c>
      <c r="F50" s="54">
        <f>_xll.qlInterestRateIndexFixingDate(IborIndex,EffectiveDate,Trigger)</f>
        <v>42255</v>
      </c>
      <c r="G50" s="54">
        <f>_xll.qlInterestRateIndexValueDate(M50,F50)</f>
        <v>42257</v>
      </c>
      <c r="H50" s="54">
        <f>_xll.qlInterestRateIndexMaturity(M50,G50)</f>
        <v>47736</v>
      </c>
      <c r="I50" s="61">
        <f>_xll.qlIndexFixing(M50,F50,TRUE,AllTriggers)</f>
        <v>2.3639639390532565E-2</v>
      </c>
      <c r="J50" s="61" t="str">
        <f t="shared" si="2"/>
        <v>USD_CURVE_1M_15Y</v>
      </c>
      <c r="K50" s="61" t="s">
        <v>171</v>
      </c>
      <c r="M50" s="52" t="str">
        <f>_xll.qlSwapIndex(,"NoFix",D50,2,Currency,Calendar,$O$33,$P$33,$Q$33,IborIndex,DiscountingCurve,,Trigger)</f>
        <v>obj_0041c#0000</v>
      </c>
      <c r="O50" s="37"/>
    </row>
    <row r="51" spans="4:15" x14ac:dyDescent="0.2">
      <c r="D51" s="46" t="s">
        <v>78</v>
      </c>
      <c r="E51" s="13" t="s">
        <v>98</v>
      </c>
      <c r="F51" s="54">
        <f>_xll.qlInterestRateIndexFixingDate(IborIndex,EffectiveDate,Trigger)</f>
        <v>42255</v>
      </c>
      <c r="G51" s="54">
        <f>_xll.qlInterestRateIndexValueDate(M51,F51)</f>
        <v>42257</v>
      </c>
      <c r="H51" s="54">
        <f>_xll.qlInterestRateIndexMaturity(M51,G51)</f>
        <v>48101</v>
      </c>
      <c r="I51" s="61">
        <f>_xll.qlIndexFixing(M51,F51,TRUE,AllTriggers)</f>
        <v>2.395275435446307E-2</v>
      </c>
      <c r="J51" s="61" t="str">
        <f t="shared" si="2"/>
        <v>USD_CURVE_1M_16Y</v>
      </c>
      <c r="K51" s="61" t="s">
        <v>172</v>
      </c>
      <c r="M51" s="52" t="str">
        <f>_xll.qlSwapIndex(,"NoFix",D51,2,Currency,Calendar,$O$33,$P$33,$Q$33,IborIndex,DiscountingCurve,,Trigger)</f>
        <v>obj_00404#0000</v>
      </c>
      <c r="O51" s="37"/>
    </row>
    <row r="52" spans="4:15" x14ac:dyDescent="0.2">
      <c r="D52" s="46" t="s">
        <v>79</v>
      </c>
      <c r="E52" s="13" t="s">
        <v>98</v>
      </c>
      <c r="F52" s="54">
        <f>_xll.qlInterestRateIndexFixingDate(IborIndex,EffectiveDate,Trigger)</f>
        <v>42255</v>
      </c>
      <c r="G52" s="54">
        <f>_xll.qlInterestRateIndexValueDate(M52,F52)</f>
        <v>42257</v>
      </c>
      <c r="H52" s="54">
        <f>_xll.qlInterestRateIndexMaturity(M52,G52)</f>
        <v>48467</v>
      </c>
      <c r="I52" s="61">
        <f>_xll.qlIndexFixing(M52,F52,TRUE,AllTriggers)</f>
        <v>2.4219449166169981E-2</v>
      </c>
      <c r="J52" s="61" t="str">
        <f t="shared" si="2"/>
        <v>USD_CURVE_1M_17Y</v>
      </c>
      <c r="K52" s="61" t="s">
        <v>173</v>
      </c>
      <c r="M52" s="52" t="str">
        <f>_xll.qlSwapIndex(,"NoFix",D52,2,Currency,Calendar,$O$33,$P$33,$Q$33,IborIndex,DiscountingCurve,,Trigger)</f>
        <v>obj_00421#0000</v>
      </c>
      <c r="O52" s="37"/>
    </row>
    <row r="53" spans="4:15" x14ac:dyDescent="0.2">
      <c r="D53" s="46" t="s">
        <v>80</v>
      </c>
      <c r="E53" s="13" t="s">
        <v>98</v>
      </c>
      <c r="F53" s="54">
        <f>_xll.qlInterestRateIndexFixingDate(IborIndex,EffectiveDate,Trigger)</f>
        <v>42255</v>
      </c>
      <c r="G53" s="54">
        <f>_xll.qlInterestRateIndexValueDate(M53,F53)</f>
        <v>42257</v>
      </c>
      <c r="H53" s="54">
        <f>_xll.qlInterestRateIndexMaturity(M53,G53)</f>
        <v>48834</v>
      </c>
      <c r="I53" s="61">
        <f>_xll.qlIndexFixing(M53,F53,TRUE,AllTriggers)</f>
        <v>2.44477035020438E-2</v>
      </c>
      <c r="J53" s="61" t="str">
        <f t="shared" si="2"/>
        <v>USD_CURVE_1M_18Y</v>
      </c>
      <c r="K53" s="61" t="s">
        <v>174</v>
      </c>
      <c r="M53" s="52" t="str">
        <f>_xll.qlSwapIndex(,"NoFix",D53,2,Currency,Calendar,$O$33,$P$33,$Q$33,IborIndex,DiscountingCurve,,Trigger)</f>
        <v>obj_00450#0000</v>
      </c>
      <c r="O53" s="37"/>
    </row>
    <row r="54" spans="4:15" x14ac:dyDescent="0.2">
      <c r="D54" s="46" t="s">
        <v>81</v>
      </c>
      <c r="E54" s="13" t="s">
        <v>98</v>
      </c>
      <c r="F54" s="54">
        <f>_xll.qlInterestRateIndexFixingDate(IborIndex,EffectiveDate,Trigger)</f>
        <v>42255</v>
      </c>
      <c r="G54" s="54">
        <f>_xll.qlInterestRateIndexValueDate(M54,F54)</f>
        <v>42257</v>
      </c>
      <c r="H54" s="54">
        <f>_xll.qlInterestRateIndexMaturity(M54,G54)</f>
        <v>49198</v>
      </c>
      <c r="I54" s="61">
        <f>_xll.qlIndexFixing(M54,F54,TRUE,AllTriggers)</f>
        <v>2.4641688461440568E-2</v>
      </c>
      <c r="J54" s="61" t="str">
        <f t="shared" si="2"/>
        <v>USD_CURVE_1M_19Y</v>
      </c>
      <c r="K54" s="61" t="s">
        <v>175</v>
      </c>
      <c r="M54" s="52" t="str">
        <f>_xll.qlSwapIndex(,"NoFix",D54,2,Currency,Calendar,$O$33,$P$33,$Q$33,IborIndex,DiscountingCurve,,Trigger)</f>
        <v>obj_003d3#0000</v>
      </c>
      <c r="O54" s="37"/>
    </row>
    <row r="55" spans="4:15" x14ac:dyDescent="0.2">
      <c r="D55" s="46" t="s">
        <v>82</v>
      </c>
      <c r="E55" s="13" t="s">
        <v>98</v>
      </c>
      <c r="F55" s="54">
        <f>_xll.qlInterestRateIndexFixingDate(IborIndex,EffectiveDate,Trigger)</f>
        <v>42255</v>
      </c>
      <c r="G55" s="54">
        <f>_xll.qlInterestRateIndexValueDate(M55,F55)</f>
        <v>42257</v>
      </c>
      <c r="H55" s="54">
        <f>_xll.qlInterestRateIndexMaturity(M55,G55)</f>
        <v>49562</v>
      </c>
      <c r="I55" s="61">
        <f>_xll.qlIndexFixing(M55,F55,TRUE,AllTriggers)</f>
        <v>2.4808673996292756E-2</v>
      </c>
      <c r="J55" s="61" t="str">
        <f t="shared" si="2"/>
        <v>USD_CURVE_1M_20Y</v>
      </c>
      <c r="K55" s="61" t="s">
        <v>176</v>
      </c>
      <c r="M55" s="52" t="str">
        <f>_xll.qlSwapIndex(,"NoFix",D55,2,Currency,Calendar,$O$33,$P$33,$Q$33,IborIndex,DiscountingCurve,,Trigger)</f>
        <v>obj_00444#0000</v>
      </c>
      <c r="O55" s="37"/>
    </row>
    <row r="56" spans="4:15" x14ac:dyDescent="0.2">
      <c r="D56" s="46" t="s">
        <v>83</v>
      </c>
      <c r="E56" s="13" t="s">
        <v>98</v>
      </c>
      <c r="F56" s="54">
        <f>_xll.qlInterestRateIndexFixingDate(IborIndex,EffectiveDate,Trigger)</f>
        <v>42255</v>
      </c>
      <c r="G56" s="54">
        <f>_xll.qlInterestRateIndexValueDate(M56,F56)</f>
        <v>42257</v>
      </c>
      <c r="H56" s="54">
        <f>_xll.qlInterestRateIndexMaturity(M56,G56)</f>
        <v>49928</v>
      </c>
      <c r="I56" s="61">
        <f>_xll.qlIndexFixing(M56,F56,TRUE,AllTriggers)</f>
        <v>2.4953763287108049E-2</v>
      </c>
      <c r="J56" s="61" t="str">
        <f t="shared" si="2"/>
        <v>USD_CURVE_1M_21Y</v>
      </c>
      <c r="K56" s="61" t="s">
        <v>177</v>
      </c>
      <c r="M56" s="52" t="str">
        <f>_xll.qlSwapIndex(,"NoFix",D56,2,Currency,Calendar,$O$33,$P$33,$Q$33,IborIndex,DiscountingCurve,,Trigger)</f>
        <v>obj_003e6#0000</v>
      </c>
      <c r="O56" s="37"/>
    </row>
    <row r="57" spans="4:15" x14ac:dyDescent="0.2">
      <c r="D57" s="46" t="s">
        <v>84</v>
      </c>
      <c r="E57" s="13" t="s">
        <v>98</v>
      </c>
      <c r="F57" s="54">
        <f>_xll.qlInterestRateIndexFixingDate(IborIndex,EffectiveDate,Trigger)</f>
        <v>42255</v>
      </c>
      <c r="G57" s="54">
        <f>_xll.qlInterestRateIndexValueDate(M57,F57)</f>
        <v>42257</v>
      </c>
      <c r="H57" s="54">
        <f>_xll.qlInterestRateIndexMaturity(M57,G57)</f>
        <v>50293</v>
      </c>
      <c r="I57" s="61">
        <f>_xll.qlIndexFixing(M57,F57,TRUE,AllTriggers)</f>
        <v>2.5079718675977671E-2</v>
      </c>
      <c r="J57" s="61" t="str">
        <f t="shared" si="2"/>
        <v>USD_CURVE_1M_22Y</v>
      </c>
      <c r="K57" s="61" t="s">
        <v>178</v>
      </c>
      <c r="M57" s="52" t="str">
        <f>_xll.qlSwapIndex(,"NoFix",D57,2,Currency,Calendar,$O$33,$P$33,$Q$33,IborIndex,DiscountingCurve,,Trigger)</f>
        <v>obj_003e4#0000</v>
      </c>
      <c r="O57" s="37"/>
    </row>
    <row r="58" spans="4:15" x14ac:dyDescent="0.2">
      <c r="D58" s="46" t="s">
        <v>85</v>
      </c>
      <c r="E58" s="13" t="s">
        <v>98</v>
      </c>
      <c r="F58" s="54">
        <f>_xll.qlInterestRateIndexFixingDate(IborIndex,EffectiveDate,Trigger)</f>
        <v>42255</v>
      </c>
      <c r="G58" s="54">
        <f>_xll.qlInterestRateIndexValueDate(M58,F58)</f>
        <v>42257</v>
      </c>
      <c r="H58" s="54">
        <f>_xll.qlInterestRateIndexMaturity(M58,G58)</f>
        <v>50658</v>
      </c>
      <c r="I58" s="61">
        <f>_xll.qlIndexFixing(M58,F58,TRUE,AllTriggers)</f>
        <v>2.5190537191246316E-2</v>
      </c>
      <c r="J58" s="61" t="str">
        <f t="shared" si="2"/>
        <v>USD_CURVE_1M_23Y</v>
      </c>
      <c r="K58" s="61" t="s">
        <v>179</v>
      </c>
      <c r="M58" s="52" t="str">
        <f>_xll.qlSwapIndex(,"NoFix",D58,2,Currency,Calendar,$O$33,$P$33,$Q$33,IborIndex,DiscountingCurve,,Trigger)</f>
        <v>obj_00448#0000</v>
      </c>
      <c r="O58" s="37"/>
    </row>
    <row r="59" spans="4:15" x14ac:dyDescent="0.2">
      <c r="D59" s="46" t="s">
        <v>86</v>
      </c>
      <c r="E59" s="13" t="s">
        <v>98</v>
      </c>
      <c r="F59" s="54">
        <f>_xll.qlInterestRateIndexFixingDate(IborIndex,EffectiveDate,Trigger)</f>
        <v>42255</v>
      </c>
      <c r="G59" s="54">
        <f>_xll.qlInterestRateIndexValueDate(M59,F59)</f>
        <v>42257</v>
      </c>
      <c r="H59" s="54">
        <f>_xll.qlInterestRateIndexMaturity(M59,G59)</f>
        <v>51025</v>
      </c>
      <c r="I59" s="61">
        <f>_xll.qlIndexFixing(M59,F59,TRUE,AllTriggers)</f>
        <v>2.5289698121455949E-2</v>
      </c>
      <c r="J59" s="61" t="str">
        <f t="shared" si="2"/>
        <v>USD_CURVE_1M_24Y</v>
      </c>
      <c r="K59" s="61" t="s">
        <v>180</v>
      </c>
      <c r="M59" s="52" t="str">
        <f>_xll.qlSwapIndex(,"NoFix",D59,2,Currency,Calendar,$O$33,$P$33,$Q$33,IborIndex,DiscountingCurve,,Trigger)</f>
        <v>obj_003d5#0000</v>
      </c>
    </row>
    <row r="60" spans="4:15" x14ac:dyDescent="0.2">
      <c r="D60" s="46" t="s">
        <v>87</v>
      </c>
      <c r="E60" s="13" t="s">
        <v>98</v>
      </c>
      <c r="F60" s="54">
        <f>_xll.qlInterestRateIndexFixingDate(IborIndex,EffectiveDate,Trigger)</f>
        <v>42255</v>
      </c>
      <c r="G60" s="54">
        <f>_xll.qlInterestRateIndexValueDate(M60,F60)</f>
        <v>42257</v>
      </c>
      <c r="H60" s="54">
        <f>_xll.qlInterestRateIndexMaturity(M60,G60)</f>
        <v>51389</v>
      </c>
      <c r="I60" s="61">
        <f>_xll.qlIndexFixing(M60,F60,TRUE,AllTriggers)</f>
        <v>2.5378167593050546E-2</v>
      </c>
      <c r="J60" s="61" t="str">
        <f t="shared" si="2"/>
        <v>USD_CURVE_1M_25Y</v>
      </c>
      <c r="K60" s="61" t="s">
        <v>181</v>
      </c>
      <c r="M60" s="52" t="str">
        <f>_xll.qlSwapIndex(,"NoFix",D60,2,Currency,Calendar,$O$33,$P$33,$Q$33,IborIndex,DiscountingCurve,,Trigger)</f>
        <v>obj_003d4#0000</v>
      </c>
    </row>
    <row r="61" spans="4:15" x14ac:dyDescent="0.2">
      <c r="D61" s="46" t="s">
        <v>88</v>
      </c>
      <c r="E61" s="13" t="s">
        <v>98</v>
      </c>
      <c r="F61" s="54">
        <f>_xll.qlInterestRateIndexFixingDate(IborIndex,EffectiveDate,Trigger)</f>
        <v>42255</v>
      </c>
      <c r="G61" s="54">
        <f>_xll.qlInterestRateIndexValueDate(M61,F61)</f>
        <v>42257</v>
      </c>
      <c r="H61" s="54">
        <f>_xll.qlInterestRateIndexMaturity(M61,G61)</f>
        <v>51754</v>
      </c>
      <c r="I61" s="61">
        <f>_xll.qlIndexFixing(M61,F61,TRUE,AllTriggers)</f>
        <v>2.5458856846455474E-2</v>
      </c>
      <c r="J61" s="61" t="str">
        <f t="shared" si="2"/>
        <v>USD_CURVE_1M_26Y</v>
      </c>
      <c r="K61" s="61" t="s">
        <v>182</v>
      </c>
      <c r="M61" s="52" t="str">
        <f>_xll.qlSwapIndex(,"NoFix",D61,2,Currency,Calendar,$O$33,$P$33,$Q$33,IborIndex,DiscountingCurve,,Trigger)</f>
        <v>obj_00446#0000</v>
      </c>
    </row>
    <row r="62" spans="4:15" x14ac:dyDescent="0.2">
      <c r="D62" s="46" t="s">
        <v>89</v>
      </c>
      <c r="E62" s="13" t="s">
        <v>98</v>
      </c>
      <c r="F62" s="54">
        <f>_xll.qlInterestRateIndexFixingDate(IborIndex,EffectiveDate,Trigger)</f>
        <v>42255</v>
      </c>
      <c r="G62" s="54">
        <f>_xll.qlInterestRateIndexValueDate(M62,F62)</f>
        <v>42257</v>
      </c>
      <c r="H62" s="54">
        <f>_xll.qlInterestRateIndexMaturity(M62,G62)</f>
        <v>52119</v>
      </c>
      <c r="I62" s="61">
        <f>_xll.qlIndexFixing(M62,F62,TRUE,AllTriggers)</f>
        <v>2.5531950783842107E-2</v>
      </c>
      <c r="J62" s="61" t="str">
        <f t="shared" ref="J62:J68" si="3">Currency&amp;"_CURVE_"&amp;CurveTenor&amp;"_"&amp;D62</f>
        <v>USD_CURVE_1M_27Y</v>
      </c>
      <c r="K62" s="61" t="s">
        <v>183</v>
      </c>
      <c r="M62" s="52" t="str">
        <f>_xll.qlSwapIndex(,"NoFix",D62,2,Currency,Calendar,$O$33,$P$33,$Q$33,IborIndex,DiscountingCurve,,Trigger)</f>
        <v>obj_0042e#0000</v>
      </c>
    </row>
    <row r="63" spans="4:15" x14ac:dyDescent="0.2">
      <c r="D63" s="46" t="s">
        <v>90</v>
      </c>
      <c r="E63" s="13" t="s">
        <v>98</v>
      </c>
      <c r="F63" s="54">
        <f>_xll.qlInterestRateIndexFixingDate(IborIndex,EffectiveDate,Trigger)</f>
        <v>42255</v>
      </c>
      <c r="G63" s="54">
        <f>_xll.qlInterestRateIndexValueDate(M63,F63)</f>
        <v>42257</v>
      </c>
      <c r="H63" s="54">
        <f>_xll.qlInterestRateIndexMaturity(M63,G63)</f>
        <v>52484</v>
      </c>
      <c r="I63" s="61">
        <f>_xll.qlIndexFixing(M63,F63,TRUE,AllTriggers)</f>
        <v>2.5597630897980259E-2</v>
      </c>
      <c r="J63" s="61" t="str">
        <f t="shared" si="3"/>
        <v>USD_CURVE_1M_28Y</v>
      </c>
      <c r="K63" s="61" t="s">
        <v>184</v>
      </c>
      <c r="M63" s="52" t="str">
        <f>_xll.qlSwapIndex(,"NoFix",D63,2,Currency,Calendar,$O$33,$P$33,$Q$33,IborIndex,DiscountingCurve,,Trigger)</f>
        <v>obj_003dd#0000</v>
      </c>
    </row>
    <row r="64" spans="4:15" x14ac:dyDescent="0.2">
      <c r="D64" s="46" t="s">
        <v>91</v>
      </c>
      <c r="E64" s="13" t="s">
        <v>98</v>
      </c>
      <c r="F64" s="54">
        <f>_xll.qlInterestRateIndexFixingDate(IborIndex,EffectiveDate,Trigger)</f>
        <v>42255</v>
      </c>
      <c r="G64" s="54">
        <f>_xll.qlInterestRateIndexValueDate(M64,F64)</f>
        <v>42257</v>
      </c>
      <c r="H64" s="54">
        <f>_xll.qlInterestRateIndexMaturity(M64,G64)</f>
        <v>52852</v>
      </c>
      <c r="I64" s="61">
        <f>_xll.qlIndexFixing(M64,F64,TRUE,AllTriggers)</f>
        <v>2.5656594139934003E-2</v>
      </c>
      <c r="J64" s="61" t="str">
        <f t="shared" si="3"/>
        <v>USD_CURVE_1M_29Y</v>
      </c>
      <c r="K64" s="61" t="s">
        <v>185</v>
      </c>
      <c r="M64" s="52" t="str">
        <f>_xll.qlSwapIndex(,"NoFix",D64,2,Currency,Calendar,$O$33,$P$33,$Q$33,IborIndex,DiscountingCurve,,Trigger)</f>
        <v>obj_00423#0000</v>
      </c>
    </row>
    <row r="65" spans="4:13" x14ac:dyDescent="0.2">
      <c r="D65" s="46" t="s">
        <v>92</v>
      </c>
      <c r="E65" s="13" t="s">
        <v>98</v>
      </c>
      <c r="F65" s="54">
        <f>_xll.qlInterestRateIndexFixingDate(IborIndex,EffectiveDate,Trigger)</f>
        <v>42255</v>
      </c>
      <c r="G65" s="54">
        <f>_xll.qlInterestRateIndexValueDate(M65,F65)</f>
        <v>42257</v>
      </c>
      <c r="H65" s="54">
        <f>_xll.qlInterestRateIndexMaturity(M65,G65)</f>
        <v>53216</v>
      </c>
      <c r="I65" s="61">
        <f>_xll.qlIndexFixing(M65,F65,TRUE,AllTriggers)</f>
        <v>2.5707772992051989E-2</v>
      </c>
      <c r="J65" s="61" t="str">
        <f t="shared" si="3"/>
        <v>USD_CURVE_1M_30Y</v>
      </c>
      <c r="K65" s="61" t="s">
        <v>186</v>
      </c>
      <c r="M65" s="52" t="str">
        <f>_xll.qlSwapIndex(,"NoFix",D65,2,Currency,Calendar,$O$33,$P$33,$Q$33,IborIndex,DiscountingCurve,,Trigger)</f>
        <v>obj_003db#0000</v>
      </c>
    </row>
    <row r="66" spans="4:13" x14ac:dyDescent="0.2">
      <c r="D66" s="86" t="s">
        <v>93</v>
      </c>
      <c r="E66" s="77" t="s">
        <v>98</v>
      </c>
      <c r="F66" s="54">
        <f>_xll.qlInterestRateIndexFixingDate(IborIndex,EffectiveDate,Trigger)</f>
        <v>42255</v>
      </c>
      <c r="G66" s="54">
        <f>_xll.qlInterestRateIndexValueDate(M66,F66)</f>
        <v>42257</v>
      </c>
      <c r="H66" s="54">
        <f>_xll.qlInterestRateIndexMaturity(M66,G66)</f>
        <v>56867</v>
      </c>
      <c r="I66" s="61">
        <f>_xll.qlIndexFixing(M66,F66,TRUE,AllTriggers)</f>
        <v>2.5897713096258951E-2</v>
      </c>
      <c r="J66" s="61" t="str">
        <f t="shared" si="3"/>
        <v>USD_CURVE_1M_40Y</v>
      </c>
      <c r="K66" s="61" t="s">
        <v>187</v>
      </c>
      <c r="M66" s="52" t="str">
        <f>_xll.qlSwapIndex(,"NoFix",D66,2,Currency,Calendar,$O$33,$P$33,$Q$33,IborIndex,DiscountingCurve,,Trigger)</f>
        <v>obj_0043b#0000</v>
      </c>
    </row>
    <row r="67" spans="4:13" x14ac:dyDescent="0.2">
      <c r="D67" s="86" t="s">
        <v>94</v>
      </c>
      <c r="E67" s="77" t="s">
        <v>98</v>
      </c>
      <c r="F67" s="54">
        <f>_xll.qlInterestRateIndexFixingDate(IborIndex,EffectiveDate,Trigger)</f>
        <v>42255</v>
      </c>
      <c r="G67" s="54">
        <f>_xll.qlInterestRateIndexValueDate(M67,F67)</f>
        <v>42257</v>
      </c>
      <c r="H67" s="54">
        <f>_xll.qlInterestRateIndexMaturity(M67,G67)</f>
        <v>60520</v>
      </c>
      <c r="I67" s="61">
        <f>_xll.qlIndexFixing(M67,F67,TRUE,AllTriggers)</f>
        <v>2.5737790225914482E-2</v>
      </c>
      <c r="J67" s="61" t="str">
        <f t="shared" si="3"/>
        <v>USD_CURVE_1M_50Y</v>
      </c>
      <c r="K67" s="61" t="s">
        <v>188</v>
      </c>
      <c r="M67" s="52" t="str">
        <f>_xll.qlSwapIndex(,"NoFix",D67,2,Currency,Calendar,$O$33,$P$33,$Q$33,IborIndex,DiscountingCurve,,Trigger)</f>
        <v>obj_00403#0000</v>
      </c>
    </row>
    <row r="68" spans="4:13" x14ac:dyDescent="0.2">
      <c r="D68" s="89" t="s">
        <v>95</v>
      </c>
      <c r="E68" s="78" t="s">
        <v>98</v>
      </c>
      <c r="F68" s="56">
        <f>_xll.qlInterestRateIndexFixingDate(IborIndex,EffectiveDate,Trigger)</f>
        <v>42255</v>
      </c>
      <c r="G68" s="56">
        <f>_xll.qlInterestRateIndexValueDate(M68,F68)</f>
        <v>42257</v>
      </c>
      <c r="H68" s="56">
        <f>_xll.qlInterestRateIndexMaturity(M68,G68)</f>
        <v>64172</v>
      </c>
      <c r="I68" s="57">
        <f>_xll.qlIndexFixing(M68,F68,TRUE,AllTriggers)</f>
        <v>2.5588079610746894E-2</v>
      </c>
      <c r="J68" s="57" t="str">
        <f t="shared" si="3"/>
        <v>USD_CURVE_1M_60Y</v>
      </c>
      <c r="K68" s="57" t="s">
        <v>189</v>
      </c>
      <c r="M68" s="58" t="str">
        <f>_xll.qlSwapIndex(,"NoFix",D68,2,Currency,Calendar,$O$33,$P$33,$Q$33,IborIndex,DiscountingCurve,,Trigger)</f>
        <v>obj_00424#0000</v>
      </c>
    </row>
  </sheetData>
  <dataValidations count="2">
    <dataValidation type="list" allowBlank="1" showInputMessage="1" showErrorMessage="1" sqref="Q6 Q33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P6 P33">
      <formula1>"Following,Modified Following,Preceding,Modified Preceding,Unadjusted,Half-Month Modified Following"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S68"/>
  <sheetViews>
    <sheetView showGridLines="0" workbookViewId="0"/>
  </sheetViews>
  <sheetFormatPr defaultColWidth="2.85546875" defaultRowHeight="11.25" outlineLevelCol="1" x14ac:dyDescent="0.2"/>
  <cols>
    <col min="1" max="1" width="2.7109375" style="4" customWidth="1"/>
    <col min="2" max="2" width="12" style="4" hidden="1" customWidth="1" outlineLevel="1"/>
    <col min="3" max="3" width="17.28515625" style="4" hidden="1" customWidth="1" outlineLevel="1"/>
    <col min="4" max="4" width="10" style="3" bestFit="1" customWidth="1" collapsed="1"/>
    <col min="5" max="5" width="15.140625" style="4" bestFit="1" customWidth="1"/>
    <col min="6" max="8" width="17.28515625" style="4" customWidth="1"/>
    <col min="9" max="9" width="8" style="5" bestFit="1" customWidth="1"/>
    <col min="10" max="10" width="26.5703125" style="4" bestFit="1" customWidth="1"/>
    <col min="11" max="11" width="26.5703125" style="4" customWidth="1"/>
    <col min="12" max="12" width="2.7109375" style="4" hidden="1" customWidth="1" outlineLevel="1"/>
    <col min="13" max="13" width="15.140625" style="4" hidden="1" customWidth="1" outlineLevel="1"/>
    <col min="14" max="14" width="2.7109375" style="4" hidden="1" customWidth="1" outlineLevel="1"/>
    <col min="15" max="15" width="14.140625" style="4" hidden="1" customWidth="1" outlineLevel="1"/>
    <col min="16" max="17" width="19.28515625" style="2" hidden="1" customWidth="1" outlineLevel="1"/>
    <col min="18" max="18" width="2.7109375" style="2" customWidth="1" collapsed="1"/>
    <col min="19" max="83" width="27.28515625" style="2" customWidth="1"/>
    <col min="84" max="16384" width="2.85546875" style="2"/>
  </cols>
  <sheetData>
    <row r="1" spans="1:19" x14ac:dyDescent="0.2">
      <c r="A1" s="37"/>
      <c r="B1" s="37"/>
      <c r="C1" s="37"/>
      <c r="D1" s="34"/>
      <c r="E1" s="35" t="s">
        <v>52</v>
      </c>
      <c r="F1" s="36" t="s">
        <v>18</v>
      </c>
      <c r="G1" s="37"/>
      <c r="H1" s="37"/>
      <c r="I1" s="29"/>
      <c r="J1" s="37"/>
      <c r="K1" s="37"/>
      <c r="L1" s="37"/>
      <c r="N1" s="37"/>
      <c r="O1" s="37"/>
      <c r="P1" s="37"/>
      <c r="Q1" s="37"/>
      <c r="R1" s="37"/>
      <c r="S1" s="23"/>
    </row>
    <row r="2" spans="1:19" x14ac:dyDescent="0.2">
      <c r="E2" s="35" t="s">
        <v>53</v>
      </c>
      <c r="F2" s="36" t="str">
        <f>Currency&amp;CurveTenor</f>
        <v>USD3M</v>
      </c>
      <c r="G2" s="37"/>
      <c r="H2" s="37"/>
      <c r="I2" s="29"/>
      <c r="J2" s="37"/>
      <c r="K2" s="37"/>
      <c r="O2" s="37"/>
      <c r="P2" s="37"/>
      <c r="Q2" s="37"/>
      <c r="R2" s="37"/>
      <c r="S2" s="23"/>
    </row>
    <row r="3" spans="1:19" x14ac:dyDescent="0.2">
      <c r="E3" s="35" t="s">
        <v>31</v>
      </c>
      <c r="F3" s="16" t="str">
        <f>IborIndexFamily&amp;CurveTenor</f>
        <v>UsdLibor3M</v>
      </c>
      <c r="G3" s="37"/>
      <c r="H3" s="37"/>
      <c r="I3" s="29"/>
      <c r="J3" s="37"/>
      <c r="K3" s="37"/>
      <c r="M3" s="37"/>
      <c r="N3" s="37"/>
      <c r="O3" s="37"/>
      <c r="P3" s="37"/>
      <c r="Q3" s="37"/>
      <c r="R3" s="37"/>
      <c r="S3" s="23"/>
    </row>
    <row r="4" spans="1:19" x14ac:dyDescent="0.2">
      <c r="A4" s="37"/>
      <c r="B4" s="37"/>
      <c r="C4" s="37"/>
      <c r="D4" s="34"/>
      <c r="E4" s="37"/>
      <c r="F4" s="37"/>
      <c r="G4" s="37"/>
      <c r="H4" s="37"/>
      <c r="I4" s="29"/>
      <c r="J4" s="37"/>
      <c r="K4" s="37"/>
      <c r="L4" s="37"/>
      <c r="M4" s="37"/>
      <c r="N4" s="37"/>
      <c r="O4" s="37"/>
      <c r="P4" s="37"/>
      <c r="Q4" s="37"/>
      <c r="R4" s="37"/>
      <c r="S4" s="23"/>
    </row>
    <row r="5" spans="1:19" x14ac:dyDescent="0.2">
      <c r="A5" s="23"/>
      <c r="B5" s="23"/>
      <c r="C5" s="23"/>
      <c r="D5" s="10"/>
      <c r="E5" s="10" t="s">
        <v>37</v>
      </c>
      <c r="F5" s="10" t="s">
        <v>42</v>
      </c>
      <c r="G5" s="10" t="s">
        <v>49</v>
      </c>
      <c r="H5" s="10" t="s">
        <v>35</v>
      </c>
      <c r="I5" s="11" t="s">
        <v>34</v>
      </c>
      <c r="J5" s="11" t="s">
        <v>50</v>
      </c>
      <c r="K5" s="11" t="s">
        <v>51</v>
      </c>
      <c r="L5" s="23"/>
      <c r="M5" s="35" t="s">
        <v>64</v>
      </c>
      <c r="N5" s="37"/>
      <c r="O5" s="35" t="s">
        <v>63</v>
      </c>
      <c r="P5" s="35" t="s">
        <v>60</v>
      </c>
      <c r="Q5" s="35" t="s">
        <v>61</v>
      </c>
      <c r="R5" s="23"/>
      <c r="S5" s="23"/>
    </row>
    <row r="6" spans="1:19" x14ac:dyDescent="0.2">
      <c r="A6" s="23"/>
      <c r="B6" s="23"/>
      <c r="C6" s="23"/>
      <c r="D6" s="83"/>
      <c r="E6" s="95"/>
      <c r="F6" s="84"/>
      <c r="G6" s="84"/>
      <c r="H6" s="84"/>
      <c r="I6" s="85"/>
      <c r="J6" s="85"/>
      <c r="K6" s="85"/>
      <c r="L6" s="23"/>
      <c r="M6" s="111"/>
      <c r="N6" s="37"/>
      <c r="O6" s="36" t="b">
        <v>1</v>
      </c>
      <c r="P6" s="36" t="s">
        <v>100</v>
      </c>
      <c r="Q6" s="65" t="s">
        <v>99</v>
      </c>
      <c r="R6" s="23"/>
      <c r="S6" s="23"/>
    </row>
    <row r="7" spans="1:19" x14ac:dyDescent="0.2">
      <c r="A7" s="23"/>
      <c r="B7" s="23"/>
      <c r="C7" s="23"/>
      <c r="D7" s="86"/>
      <c r="E7" s="96"/>
      <c r="F7" s="87"/>
      <c r="G7" s="87"/>
      <c r="H7" s="87"/>
      <c r="I7" s="79"/>
      <c r="J7" s="79"/>
      <c r="K7" s="79"/>
      <c r="L7" s="23"/>
      <c r="M7" s="81"/>
      <c r="N7" s="34"/>
      <c r="R7" s="23"/>
      <c r="S7" s="23"/>
    </row>
    <row r="8" spans="1:19" x14ac:dyDescent="0.2">
      <c r="A8" s="23"/>
      <c r="B8" s="23"/>
      <c r="C8" s="23"/>
      <c r="D8" s="86"/>
      <c r="E8" s="96"/>
      <c r="F8" s="87"/>
      <c r="G8" s="87"/>
      <c r="H8" s="87"/>
      <c r="I8" s="79"/>
      <c r="J8" s="79"/>
      <c r="K8" s="79"/>
      <c r="L8" s="23"/>
      <c r="M8" s="52"/>
      <c r="N8" s="34"/>
      <c r="R8" s="23"/>
      <c r="S8" s="23"/>
    </row>
    <row r="9" spans="1:19" x14ac:dyDescent="0.2">
      <c r="A9" s="23"/>
      <c r="B9" s="23"/>
      <c r="C9" s="23"/>
      <c r="D9" s="86" t="s">
        <v>98</v>
      </c>
      <c r="E9" s="96" t="s">
        <v>101</v>
      </c>
      <c r="F9" s="87">
        <f>_xll.qlInterestRateIndexFixingDate(IborIndex,EffectiveDate,Trigger)</f>
        <v>42255</v>
      </c>
      <c r="G9" s="87">
        <f>_xll.qlInterestRateIndexValueDate(M9,F9)</f>
        <v>42257</v>
      </c>
      <c r="H9" s="87">
        <f>_xll.qlInterestRateIndexMaturity(M9,G9)</f>
        <v>42264</v>
      </c>
      <c r="I9" s="79">
        <f>_xll.qlIndexFixing(M9,F9,TRUE,AllTriggers)</f>
        <v>2.7346178882936556E-3</v>
      </c>
      <c r="J9" s="79" t="str">
        <f>Currency&amp;"_CURVE_DEP"&amp;CurveTenor&amp;"_"&amp;"1W"</f>
        <v>USD_CURVE_DEP3M_1W</v>
      </c>
      <c r="K9" s="79"/>
      <c r="L9" s="23"/>
      <c r="M9" s="14" t="str">
        <f>_xll.qlLibor(,Currency,D9,YieldCurve,,Trigger)</f>
        <v>obj_003aa#0000</v>
      </c>
      <c r="N9" s="34"/>
      <c r="O9" s="37"/>
      <c r="P9" s="37"/>
      <c r="Q9" s="37"/>
      <c r="R9" s="23"/>
      <c r="S9" s="23"/>
    </row>
    <row r="10" spans="1:19" x14ac:dyDescent="0.2">
      <c r="A10" s="23"/>
      <c r="B10" s="23"/>
      <c r="C10" s="23"/>
      <c r="D10" s="86" t="s">
        <v>15</v>
      </c>
      <c r="E10" s="96" t="s">
        <v>101</v>
      </c>
      <c r="F10" s="87">
        <f>_xll.qlInterestRateIndexFixingDate(IborIndex,EffectiveDate,Trigger)</f>
        <v>42255</v>
      </c>
      <c r="G10" s="87">
        <f>_xll.qlInterestRateIndexValueDate(M10,F10)</f>
        <v>42257</v>
      </c>
      <c r="H10" s="87">
        <f>_xll.qlInterestRateIndexMaturity(M10,G10)</f>
        <v>42271</v>
      </c>
      <c r="I10" s="79">
        <f>_xll.qlIndexFixing(M10,F10,TRUE,AllTriggers)</f>
        <v>2.751382782897644E-3</v>
      </c>
      <c r="J10" s="79" t="str">
        <f t="shared" ref="J10:J20" si="0">Currency&amp;"_CURVE_DEP"&amp;CurveTenor&amp;"_"&amp;D10</f>
        <v>USD_CURVE_DEP3M_2W</v>
      </c>
      <c r="K10" s="79"/>
      <c r="L10" s="23"/>
      <c r="M10" s="14" t="str">
        <f>_xll.qlLibor(,Currency,D10,YieldCurve,,Trigger)</f>
        <v>obj_00395#0000</v>
      </c>
      <c r="N10" s="34"/>
      <c r="O10" s="37"/>
      <c r="P10" s="37"/>
      <c r="Q10" s="37"/>
      <c r="R10" s="23"/>
      <c r="S10" s="23"/>
    </row>
    <row r="11" spans="1:19" x14ac:dyDescent="0.2">
      <c r="A11" s="23"/>
      <c r="B11" s="23"/>
      <c r="C11" s="23"/>
      <c r="D11" s="86" t="s">
        <v>71</v>
      </c>
      <c r="E11" s="96" t="s">
        <v>101</v>
      </c>
      <c r="F11" s="87">
        <f>_xll.qlInterestRateIndexFixingDate(IborIndex,EffectiveDate,Trigger)</f>
        <v>42255</v>
      </c>
      <c r="G11" s="87">
        <f>_xll.qlInterestRateIndexValueDate(M11,F11)</f>
        <v>42257</v>
      </c>
      <c r="H11" s="87">
        <f>_xll.qlInterestRateIndexMaturity(M11,G11)</f>
        <v>42278</v>
      </c>
      <c r="I11" s="79">
        <f>_xll.qlIndexFixing(M11,F11,TRUE,AllTriggers)</f>
        <v>2.7792782172905307E-3</v>
      </c>
      <c r="J11" s="79" t="str">
        <f t="shared" si="0"/>
        <v>USD_CURVE_DEP3M_3W</v>
      </c>
      <c r="K11" s="79"/>
      <c r="L11" s="23"/>
      <c r="M11" s="14" t="str">
        <f>_xll.qlLibor(,Currency,D11,YieldCurve,,Trigger)</f>
        <v>obj_0039a#0000</v>
      </c>
      <c r="N11" s="34"/>
      <c r="O11" s="37"/>
      <c r="P11" s="37"/>
      <c r="Q11" s="37"/>
      <c r="R11" s="23"/>
      <c r="S11" s="23"/>
    </row>
    <row r="12" spans="1:19" x14ac:dyDescent="0.2">
      <c r="A12" s="23"/>
      <c r="B12" s="23"/>
      <c r="C12" s="23"/>
      <c r="D12" s="86" t="s">
        <v>16</v>
      </c>
      <c r="E12" s="96" t="s">
        <v>101</v>
      </c>
      <c r="F12" s="87">
        <f>_xll.qlInterestRateIndexFixingDate(IborIndex,EffectiveDate,Trigger)</f>
        <v>42255</v>
      </c>
      <c r="G12" s="88">
        <f>_xll.qlInterestRateIndexValueDate(M12,F12)</f>
        <v>42257</v>
      </c>
      <c r="H12" s="87">
        <f>_xll.qlInterestRateIndexMaturity(M12,G12)</f>
        <v>42290</v>
      </c>
      <c r="I12" s="79">
        <f>_xll.qlIndexFixing(M12,F12,TRUE,AllTriggers)</f>
        <v>2.8529999999998331E-3</v>
      </c>
      <c r="J12" s="79" t="str">
        <f t="shared" si="0"/>
        <v>USD_CURVE_DEP3M_1M</v>
      </c>
      <c r="K12" s="79"/>
      <c r="L12" s="23"/>
      <c r="M12" s="14" t="str">
        <f>_xll.qlLibor(,Currency,D12,YieldCurve,,Trigger)</f>
        <v>obj_003a2#0000</v>
      </c>
      <c r="N12" s="34"/>
      <c r="O12" s="37"/>
      <c r="P12" s="37"/>
      <c r="Q12" s="37"/>
      <c r="R12" s="23"/>
      <c r="S12" s="23"/>
    </row>
    <row r="13" spans="1:19" x14ac:dyDescent="0.2">
      <c r="A13" s="23"/>
      <c r="B13" s="23"/>
      <c r="C13" s="23"/>
      <c r="D13" s="86" t="s">
        <v>17</v>
      </c>
      <c r="E13" s="96" t="s">
        <v>101</v>
      </c>
      <c r="F13" s="87">
        <f>_xll.qlInterestRateIndexFixingDate(IborIndex,EffectiveDate,Trigger)</f>
        <v>42255</v>
      </c>
      <c r="G13" s="88">
        <f>_xll.qlInterestRateIndexValueDate(M13,F13)</f>
        <v>42257</v>
      </c>
      <c r="H13" s="87">
        <f>_xll.qlInterestRateIndexMaturity(M13,G13)</f>
        <v>42318</v>
      </c>
      <c r="I13" s="79">
        <f>_xll.qlIndexFixing(M13,F13,TRUE,AllTriggers)</f>
        <v>3.0909999999996561E-3</v>
      </c>
      <c r="J13" s="79" t="str">
        <f t="shared" si="0"/>
        <v>USD_CURVE_DEP3M_2M</v>
      </c>
      <c r="K13" s="79"/>
      <c r="L13" s="23"/>
      <c r="M13" s="81" t="str">
        <f>_xll.qlLibor(,Currency,D13,YieldCurve,,Trigger)</f>
        <v>obj_0039d#0000</v>
      </c>
      <c r="N13" s="23"/>
      <c r="O13" s="37"/>
      <c r="P13" s="37"/>
      <c r="Q13" s="37"/>
      <c r="R13" s="23"/>
      <c r="S13" s="23"/>
    </row>
    <row r="14" spans="1:19" x14ac:dyDescent="0.2">
      <c r="A14" s="23"/>
      <c r="B14" s="23"/>
      <c r="C14" s="23"/>
      <c r="D14" s="86" t="s">
        <v>18</v>
      </c>
      <c r="E14" s="96" t="s">
        <v>101</v>
      </c>
      <c r="F14" s="87">
        <f>_xll.qlInterestRateIndexFixingDate(IborIndex,EffectiveDate,Trigger)</f>
        <v>42255</v>
      </c>
      <c r="G14" s="88">
        <f>_xll.qlInterestRateIndexValueDate(M14,F14)</f>
        <v>42257</v>
      </c>
      <c r="H14" s="87">
        <f>_xll.qlInterestRateIndexMaturity(M14,G14)</f>
        <v>42348</v>
      </c>
      <c r="I14" s="79">
        <f>_xll.qlIndexFixing(M14,F14,TRUE,AllTriggers)</f>
        <v>3.3394564235184237E-3</v>
      </c>
      <c r="J14" s="79" t="str">
        <f t="shared" si="0"/>
        <v>USD_CURVE_DEP3M_3M</v>
      </c>
      <c r="K14" s="79"/>
      <c r="L14" s="23"/>
      <c r="M14" s="14" t="str">
        <f>_xll.qlLibor(,Currency,D14,YieldCurve,,Trigger)</f>
        <v>obj_00393#0000</v>
      </c>
      <c r="N14" s="23"/>
      <c r="O14" s="37"/>
      <c r="P14" s="34"/>
      <c r="Q14" s="37"/>
      <c r="R14" s="23"/>
      <c r="S14" s="23"/>
    </row>
    <row r="15" spans="1:19" x14ac:dyDescent="0.2">
      <c r="A15" s="23"/>
      <c r="B15" s="23"/>
      <c r="C15" s="23"/>
      <c r="D15" s="86" t="s">
        <v>19</v>
      </c>
      <c r="E15" s="96" t="s">
        <v>101</v>
      </c>
      <c r="F15" s="87">
        <f>_xll.qlInterestRateIndexFixingDate(IborIndex,EffectiveDate,Trigger)</f>
        <v>42255</v>
      </c>
      <c r="G15" s="88">
        <f>_xll.qlInterestRateIndexValueDate(M15,F15)</f>
        <v>42257</v>
      </c>
      <c r="H15" s="87">
        <f>_xll.qlInterestRateIndexMaturity(M15,G15)</f>
        <v>42380</v>
      </c>
      <c r="I15" s="79">
        <f>_xll.qlIndexFixing(M15,F15,TRUE,AllTriggers)</f>
        <v>3.6355559630449137E-3</v>
      </c>
      <c r="J15" s="79" t="str">
        <f t="shared" si="0"/>
        <v>USD_CURVE_DEP3M_4M</v>
      </c>
      <c r="K15" s="79"/>
      <c r="L15" s="23"/>
      <c r="M15" s="14" t="str">
        <f>_xll.qlLibor(,Currency,D15,YieldCurve,,Trigger)</f>
        <v>obj_003a6#0000</v>
      </c>
      <c r="N15" s="23"/>
      <c r="O15" s="37"/>
      <c r="P15" s="34"/>
      <c r="Q15" s="37"/>
      <c r="R15" s="23"/>
      <c r="S15" s="23"/>
    </row>
    <row r="16" spans="1:19" x14ac:dyDescent="0.2">
      <c r="A16" s="23"/>
      <c r="B16" s="23"/>
      <c r="C16" s="23"/>
      <c r="D16" s="86" t="s">
        <v>20</v>
      </c>
      <c r="E16" s="96" t="s">
        <v>101</v>
      </c>
      <c r="F16" s="87">
        <f>_xll.qlInterestRateIndexFixingDate(IborIndex,EffectiveDate,Trigger)</f>
        <v>42255</v>
      </c>
      <c r="G16" s="88">
        <f>_xll.qlInterestRateIndexValueDate(M16,F16)</f>
        <v>42257</v>
      </c>
      <c r="H16" s="87">
        <f>_xll.qlInterestRateIndexMaturity(M16,G16)</f>
        <v>42410</v>
      </c>
      <c r="I16" s="79">
        <f>_xll.qlIndexFixing(M16,F16,TRUE,AllTriggers)</f>
        <v>3.8516276380217611E-3</v>
      </c>
      <c r="J16" s="79" t="str">
        <f t="shared" si="0"/>
        <v>USD_CURVE_DEP3M_5M</v>
      </c>
      <c r="K16" s="79"/>
      <c r="L16" s="23"/>
      <c r="M16" s="14" t="str">
        <f>_xll.qlLibor(,Currency,D16,YieldCurve,,Trigger)</f>
        <v>obj_003a7#0000</v>
      </c>
      <c r="N16" s="23"/>
      <c r="O16" s="37"/>
      <c r="P16" s="34"/>
      <c r="Q16" s="37"/>
      <c r="R16" s="23"/>
      <c r="S16" s="23"/>
    </row>
    <row r="17" spans="1:19" x14ac:dyDescent="0.2">
      <c r="A17" s="23"/>
      <c r="B17" s="23"/>
      <c r="C17" s="23"/>
      <c r="D17" s="86" t="s">
        <v>13</v>
      </c>
      <c r="E17" s="96" t="s">
        <v>101</v>
      </c>
      <c r="F17" s="87">
        <f>_xll.qlInterestRateIndexFixingDate(IborIndex,EffectiveDate,Trigger)</f>
        <v>42255</v>
      </c>
      <c r="G17" s="88">
        <f>_xll.qlInterestRateIndexValueDate(M17,F17)</f>
        <v>42257</v>
      </c>
      <c r="H17" s="87">
        <f>_xll.qlInterestRateIndexMaturity(M17,G17)</f>
        <v>42439</v>
      </c>
      <c r="I17" s="79">
        <f>_xll.qlIndexFixing(M17,F17,TRUE,AllTriggers)</f>
        <v>4.0234252819940242E-3</v>
      </c>
      <c r="J17" s="79" t="str">
        <f t="shared" si="0"/>
        <v>USD_CURVE_DEP3M_6M</v>
      </c>
      <c r="K17" s="79"/>
      <c r="L17" s="23"/>
      <c r="M17" s="14" t="str">
        <f>_xll.qlLibor(,Currency,D17,YieldCurve,,Trigger)</f>
        <v>obj_003a8#0000</v>
      </c>
      <c r="N17" s="34"/>
      <c r="O17" s="34"/>
      <c r="P17" s="34"/>
      <c r="Q17" s="34"/>
      <c r="R17" s="34"/>
      <c r="S17" s="23"/>
    </row>
    <row r="18" spans="1:19" x14ac:dyDescent="0.2">
      <c r="A18" s="23"/>
      <c r="B18" s="23"/>
      <c r="C18" s="23"/>
      <c r="D18" s="86" t="s">
        <v>65</v>
      </c>
      <c r="E18" s="96" t="s">
        <v>101</v>
      </c>
      <c r="F18" s="87">
        <f>_xll.qlInterestRateIndexFixingDate(IborIndex,EffectiveDate,Trigger)</f>
        <v>42255</v>
      </c>
      <c r="G18" s="88">
        <f>_xll.qlInterestRateIndexValueDate(M18,F18)</f>
        <v>42257</v>
      </c>
      <c r="H18" s="87">
        <f>_xll.qlInterestRateIndexMaturity(M18,G18)</f>
        <v>42471</v>
      </c>
      <c r="I18" s="79">
        <f>_xll.qlIndexFixing(M18,F18,TRUE,AllTriggers)</f>
        <v>4.2335165198942992E-3</v>
      </c>
      <c r="J18" s="79" t="str">
        <f t="shared" si="0"/>
        <v>USD_CURVE_DEP3M_7M</v>
      </c>
      <c r="K18" s="79"/>
      <c r="L18" s="23"/>
      <c r="M18" s="14" t="str">
        <f>_xll.qlLibor(,Currency,D18,YieldCurve,,Trigger)</f>
        <v>obj_003ab#0000</v>
      </c>
      <c r="N18" s="34"/>
      <c r="O18" s="34"/>
      <c r="P18" s="34"/>
      <c r="Q18" s="34"/>
      <c r="R18" s="34"/>
      <c r="S18" s="23"/>
    </row>
    <row r="19" spans="1:19" x14ac:dyDescent="0.2">
      <c r="A19" s="23"/>
      <c r="B19" s="23"/>
      <c r="C19" s="23"/>
      <c r="D19" s="86" t="s">
        <v>66</v>
      </c>
      <c r="E19" s="96" t="s">
        <v>101</v>
      </c>
      <c r="F19" s="87">
        <f>_xll.qlInterestRateIndexFixingDate(IborIndex,EffectiveDate,Trigger)</f>
        <v>42255</v>
      </c>
      <c r="G19" s="88">
        <f>_xll.qlInterestRateIndexValueDate(M19,F19)</f>
        <v>42257</v>
      </c>
      <c r="H19" s="87">
        <f>_xll.qlInterestRateIndexMaturity(M19,G19)</f>
        <v>42500</v>
      </c>
      <c r="I19" s="79">
        <f>_xll.qlIndexFixing(M19,F19,TRUE,AllTriggers)</f>
        <v>4.4426484949399445E-3</v>
      </c>
      <c r="J19" s="79" t="str">
        <f t="shared" si="0"/>
        <v>USD_CURVE_DEP3M_8M</v>
      </c>
      <c r="K19" s="79"/>
      <c r="L19" s="23"/>
      <c r="M19" s="81" t="str">
        <f>_xll.qlLibor(,Currency,D19,YieldCurve,,Trigger)</f>
        <v>obj_00399#0000</v>
      </c>
      <c r="N19" s="34"/>
      <c r="O19" s="34"/>
      <c r="P19" s="34"/>
      <c r="Q19" s="34"/>
      <c r="R19" s="34"/>
      <c r="S19" s="23"/>
    </row>
    <row r="20" spans="1:19" x14ac:dyDescent="0.2">
      <c r="A20" s="23"/>
      <c r="B20" s="23"/>
      <c r="C20" s="23"/>
      <c r="D20" s="86" t="s">
        <v>21</v>
      </c>
      <c r="E20" s="96" t="s">
        <v>101</v>
      </c>
      <c r="F20" s="87">
        <f>_xll.qlInterestRateIndexFixingDate(IborIndex,EffectiveDate,Trigger)</f>
        <v>42255</v>
      </c>
      <c r="G20" s="88">
        <f>_xll.qlInterestRateIndexValueDate(M20,F20)</f>
        <v>42257</v>
      </c>
      <c r="H20" s="87">
        <f>_xll.qlInterestRateIndexMaturity(M20,G20)</f>
        <v>42531</v>
      </c>
      <c r="I20" s="79">
        <f>_xll.qlIndexFixing(M20,F20,TRUE,AllTriggers)</f>
        <v>4.6744371125057877E-3</v>
      </c>
      <c r="J20" s="79" t="str">
        <f t="shared" si="0"/>
        <v>USD_CURVE_DEP3M_9M</v>
      </c>
      <c r="K20" s="79"/>
      <c r="L20" s="51"/>
      <c r="M20" s="81" t="str">
        <f>_xll.qlLibor(,Currency,D20,YieldCurve,,Trigger)</f>
        <v>obj_003a4#0000</v>
      </c>
      <c r="N20" s="34"/>
      <c r="O20" s="34"/>
      <c r="P20" s="34"/>
      <c r="Q20" s="34"/>
      <c r="R20" s="34"/>
      <c r="S20" s="23"/>
    </row>
    <row r="21" spans="1:19" x14ac:dyDescent="0.2">
      <c r="A21" s="23"/>
      <c r="B21" s="23"/>
      <c r="C21" s="23"/>
      <c r="D21" s="102"/>
      <c r="E21" s="103"/>
      <c r="F21" s="103"/>
      <c r="G21" s="103"/>
      <c r="H21" s="103"/>
      <c r="I21" s="108"/>
      <c r="J21" s="103"/>
      <c r="K21" s="103"/>
      <c r="L21" s="51"/>
      <c r="M21" s="14"/>
      <c r="N21" s="34"/>
      <c r="O21" s="34"/>
      <c r="P21" s="34"/>
      <c r="Q21" s="34"/>
      <c r="R21" s="34"/>
      <c r="S21" s="23"/>
    </row>
    <row r="22" spans="1:19" x14ac:dyDescent="0.2">
      <c r="A22" s="23"/>
      <c r="B22" s="23"/>
      <c r="C22" s="23"/>
      <c r="D22" s="102"/>
      <c r="E22" s="103"/>
      <c r="F22" s="103"/>
      <c r="G22" s="103"/>
      <c r="H22" s="103"/>
      <c r="I22" s="108"/>
      <c r="J22" s="103"/>
      <c r="K22" s="103"/>
      <c r="L22" s="51"/>
      <c r="M22" s="14"/>
      <c r="N22" s="34"/>
      <c r="O22" s="34"/>
      <c r="P22" s="34"/>
      <c r="Q22" s="34"/>
      <c r="R22" s="34"/>
      <c r="S22" s="23"/>
    </row>
    <row r="23" spans="1:19" x14ac:dyDescent="0.2">
      <c r="A23" s="23"/>
      <c r="B23" s="23"/>
      <c r="C23" s="23"/>
      <c r="D23" s="102"/>
      <c r="E23" s="103"/>
      <c r="F23" s="103"/>
      <c r="G23" s="103"/>
      <c r="H23" s="103"/>
      <c r="I23" s="108"/>
      <c r="J23" s="103"/>
      <c r="K23" s="103"/>
      <c r="L23" s="51"/>
      <c r="M23" s="16"/>
      <c r="R23" s="23"/>
      <c r="S23" s="23"/>
    </row>
    <row r="24" spans="1:19" x14ac:dyDescent="0.2">
      <c r="A24" s="23"/>
      <c r="B24" s="23">
        <f>_xll.qlDayCounterYearFraction("actual/360",SettlementDate,C24,,,Trigger)</f>
        <v>0.52222222222222225</v>
      </c>
      <c r="C24" s="168">
        <f>_xll.qlIMMNextDate(_xll.qlIMMNextCode(_xll.qlIMMNextCode(EvaluationDate+FuturesRollDays)))</f>
        <v>42445</v>
      </c>
      <c r="D24" s="175" t="str">
        <f>"#"&amp;YEAR(C24)&amp;IF(LEN(MONTH(C24))=1,"0","")&amp;MONTH(C24)&amp;IF(LEN(DAY(C24))=1,"0","")&amp;DAY(C24)</f>
        <v>#20160316</v>
      </c>
      <c r="E24" s="176" t="s">
        <v>116</v>
      </c>
      <c r="F24" s="174"/>
      <c r="G24" s="174"/>
      <c r="H24" s="174"/>
      <c r="I24" s="177">
        <f>(_xll.qlYieldTSDiscount(YieldCurve,SettlementDate,,AllTriggers)/_xll.qlYieldTSDiscount(YieldCurve,C24,,AllTriggers)-1)/B24</f>
        <v>4.0603822626761321E-3</v>
      </c>
      <c r="J24" s="174" t="str">
        <f>Currency&amp;"_CURVE_DEP"&amp;CurveTenor&amp;"_"&amp;D24</f>
        <v>USD_CURVE_DEP3M_#20160316</v>
      </c>
      <c r="K24" s="174"/>
      <c r="L24" s="51"/>
      <c r="R24" s="23"/>
      <c r="S24" s="23"/>
    </row>
    <row r="25" spans="1:19" x14ac:dyDescent="0.2">
      <c r="A25" s="23"/>
      <c r="B25" s="23"/>
      <c r="C25" s="23" t="b">
        <v>1</v>
      </c>
      <c r="D25" s="83" t="str">
        <f t="array" ref="D25:D32">_xll.qlIMMNextCodes(EvaluationDate,C25:C32)</f>
        <v>U5</v>
      </c>
      <c r="E25" s="76" t="s">
        <v>105</v>
      </c>
      <c r="F25" s="84">
        <f>_xll.qlInterestRateIndexFixingDate(IborIndex,G25)</f>
        <v>42261</v>
      </c>
      <c r="G25" s="94">
        <f>_xll.qlIMMdate(D25)</f>
        <v>42263</v>
      </c>
      <c r="H25" s="84">
        <f>_xll.qlInterestRateIndexMaturity(IborIndex,G25)</f>
        <v>42354</v>
      </c>
      <c r="I25" s="161">
        <f>(1-_xll.qlIndexFixing(IborIndex,F25,TRUE,AllTriggers))*100</f>
        <v>99.656295539604301</v>
      </c>
      <c r="J25" s="90" t="str">
        <f t="shared" ref="J25:J32" si="1">Currency&amp;"_CURVE_"&amp;E25&amp;CurveTenor&amp;"_"&amp;D25</f>
        <v>USD_CURVE_FUT3M_U5</v>
      </c>
      <c r="K25" s="90" t="str">
        <f>"ED"&amp;D25</f>
        <v>EDU5</v>
      </c>
      <c r="R25" s="23"/>
      <c r="S25" s="23"/>
    </row>
    <row r="26" spans="1:19" x14ac:dyDescent="0.2">
      <c r="A26" s="23"/>
      <c r="B26" s="23"/>
      <c r="C26" s="23" t="b">
        <v>1</v>
      </c>
      <c r="D26" s="86" t="str">
        <v>Z5</v>
      </c>
      <c r="E26" s="77" t="s">
        <v>105</v>
      </c>
      <c r="F26" s="87">
        <f>_xll.qlInterestRateIndexFixingDate(IborIndex,G26)</f>
        <v>42352</v>
      </c>
      <c r="G26" s="88">
        <f>_xll.qlIMMdate(D26)</f>
        <v>42354</v>
      </c>
      <c r="H26" s="87">
        <f>_xll.qlInterestRateIndexMaturity(IborIndex,G26)</f>
        <v>42445</v>
      </c>
      <c r="I26" s="162">
        <f>(1-_xll.qlIndexFixing(IborIndex,F26,TRUE,AllTriggers))*100</f>
        <v>99.523328428454022</v>
      </c>
      <c r="J26" s="79" t="str">
        <f t="shared" si="1"/>
        <v>USD_CURVE_FUT3M_Z5</v>
      </c>
      <c r="K26" s="79" t="str">
        <f t="shared" ref="K26:K32" si="2">"ED"&amp;D26</f>
        <v>EDZ5</v>
      </c>
      <c r="R26" s="23"/>
      <c r="S26" s="23"/>
    </row>
    <row r="27" spans="1:19" x14ac:dyDescent="0.2">
      <c r="A27" s="23"/>
      <c r="B27" s="23"/>
      <c r="C27" s="23" t="b">
        <v>1</v>
      </c>
      <c r="D27" s="86" t="str">
        <v>H6</v>
      </c>
      <c r="E27" s="77" t="s">
        <v>105</v>
      </c>
      <c r="F27" s="87">
        <f>_xll.qlInterestRateIndexFixingDate(IborIndex,G27)</f>
        <v>42443</v>
      </c>
      <c r="G27" s="88">
        <f>_xll.qlIMMdate(D27)</f>
        <v>42445</v>
      </c>
      <c r="H27" s="87">
        <f>_xll.qlInterestRateIndexMaturity(IborIndex,G27)</f>
        <v>42537</v>
      </c>
      <c r="I27" s="162">
        <f>(1-_xll.qlIndexFixing(IborIndex,F27,TRUE,AllTriggers))*100</f>
        <v>99.394602002635835</v>
      </c>
      <c r="J27" s="79" t="str">
        <f t="shared" si="1"/>
        <v>USD_CURVE_FUT3M_H6</v>
      </c>
      <c r="K27" s="79" t="str">
        <f t="shared" si="2"/>
        <v>EDH6</v>
      </c>
      <c r="R27" s="23"/>
      <c r="S27" s="23"/>
    </row>
    <row r="28" spans="1:19" x14ac:dyDescent="0.2">
      <c r="A28" s="23"/>
      <c r="B28" s="23"/>
      <c r="C28" s="23" t="b">
        <v>1</v>
      </c>
      <c r="D28" s="86" t="str">
        <v>M6</v>
      </c>
      <c r="E28" s="77" t="s">
        <v>105</v>
      </c>
      <c r="F28" s="87">
        <f>_xll.qlInterestRateIndexFixingDate(IborIndex,G28)</f>
        <v>42534</v>
      </c>
      <c r="G28" s="88">
        <f>_xll.qlIMMdate(D28)</f>
        <v>42536</v>
      </c>
      <c r="H28" s="87">
        <f>_xll.qlInterestRateIndexMaturity(IborIndex,G28)</f>
        <v>42628</v>
      </c>
      <c r="I28" s="162">
        <f>(1-_xll.qlIndexFixing(IborIndex,F28,TRUE,AllTriggers))*100</f>
        <v>99.246338958943994</v>
      </c>
      <c r="J28" s="79" t="str">
        <f t="shared" si="1"/>
        <v>USD_CURVE_FUT3M_M6</v>
      </c>
      <c r="K28" s="79" t="str">
        <f t="shared" si="2"/>
        <v>EDM6</v>
      </c>
      <c r="R28" s="23"/>
      <c r="S28" s="23"/>
    </row>
    <row r="29" spans="1:19" x14ac:dyDescent="0.2">
      <c r="A29" s="23"/>
      <c r="B29" s="23"/>
      <c r="C29" s="23" t="b">
        <v>1</v>
      </c>
      <c r="D29" s="86" t="str">
        <v>U6</v>
      </c>
      <c r="E29" s="77" t="s">
        <v>105</v>
      </c>
      <c r="F29" s="88">
        <f>_xll.qlInterestRateIndexFixingDate(IborIndex,G29)</f>
        <v>42632</v>
      </c>
      <c r="G29" s="88">
        <f>_xll.qlIMMdate(D29)</f>
        <v>42634</v>
      </c>
      <c r="H29" s="88">
        <f>_xll.qlInterestRateIndexMaturity(IborIndex,G29)</f>
        <v>42725</v>
      </c>
      <c r="I29" s="163">
        <f>(1-_xll.qlIndexFixing(IborIndex,F29,TRUE,AllTriggers))*100</f>
        <v>99.068700959016581</v>
      </c>
      <c r="J29" s="80" t="str">
        <f t="shared" si="1"/>
        <v>USD_CURVE_FUT3M_U6</v>
      </c>
      <c r="K29" s="80" t="str">
        <f t="shared" si="2"/>
        <v>EDU6</v>
      </c>
      <c r="R29" s="23"/>
      <c r="S29" s="23"/>
    </row>
    <row r="30" spans="1:19" x14ac:dyDescent="0.2">
      <c r="A30" s="23"/>
      <c r="B30" s="23"/>
      <c r="C30" s="23" t="b">
        <v>1</v>
      </c>
      <c r="D30" s="86" t="str">
        <v>Z6</v>
      </c>
      <c r="E30" s="77" t="s">
        <v>105</v>
      </c>
      <c r="F30" s="88">
        <f>_xll.qlInterestRateIndexFixingDate(IborIndex,G30)</f>
        <v>42723</v>
      </c>
      <c r="G30" s="88">
        <f>_xll.qlIMMdate(D30)</f>
        <v>42725</v>
      </c>
      <c r="H30" s="88">
        <f>_xll.qlInterestRateIndexMaturity(IborIndex,G30)</f>
        <v>42815</v>
      </c>
      <c r="I30" s="163">
        <f>(1-_xll.qlIndexFixing(IborIndex,F30,TRUE,AllTriggers))*100</f>
        <v>98.891348733093039</v>
      </c>
      <c r="J30" s="80" t="str">
        <f t="shared" si="1"/>
        <v>USD_CURVE_FUT3M_Z6</v>
      </c>
      <c r="K30" s="80" t="str">
        <f t="shared" si="2"/>
        <v>EDZ6</v>
      </c>
      <c r="R30" s="23"/>
      <c r="S30" s="23"/>
    </row>
    <row r="31" spans="1:19" x14ac:dyDescent="0.2">
      <c r="A31" s="23"/>
      <c r="B31" s="23"/>
      <c r="C31" s="23" t="b">
        <v>1</v>
      </c>
      <c r="D31" s="86" t="str">
        <v>H7</v>
      </c>
      <c r="E31" s="77" t="s">
        <v>105</v>
      </c>
      <c r="F31" s="87">
        <f>_xll.qlInterestRateIndexFixingDate(IborIndex,G31)</f>
        <v>42807</v>
      </c>
      <c r="G31" s="88">
        <f>_xll.qlIMMdate(D31)</f>
        <v>42809</v>
      </c>
      <c r="H31" s="87">
        <f>_xll.qlInterestRateIndexMaturity(IborIndex,G31)</f>
        <v>42901</v>
      </c>
      <c r="I31" s="162">
        <f>(1-_xll.qlIndexFixing(IborIndex,F31,TRUE,AllTriggers))*100</f>
        <v>98.739265701678548</v>
      </c>
      <c r="J31" s="79" t="str">
        <f t="shared" si="1"/>
        <v>USD_CURVE_FUT3M_H7</v>
      </c>
      <c r="K31" s="79" t="str">
        <f t="shared" si="2"/>
        <v>EDH7</v>
      </c>
      <c r="R31" s="23"/>
      <c r="S31" s="23"/>
    </row>
    <row r="32" spans="1:19" x14ac:dyDescent="0.2">
      <c r="A32" s="23"/>
      <c r="B32" s="23"/>
      <c r="C32" s="23" t="b">
        <v>1</v>
      </c>
      <c r="D32" s="86" t="str">
        <v>M7</v>
      </c>
      <c r="E32" s="77" t="s">
        <v>105</v>
      </c>
      <c r="F32" s="87">
        <f>_xll.qlInterestRateIndexFixingDate(IborIndex,G32)</f>
        <v>42905</v>
      </c>
      <c r="G32" s="88">
        <f>_xll.qlIMMdate(D32)</f>
        <v>42907</v>
      </c>
      <c r="H32" s="87">
        <f>_xll.qlInterestRateIndexMaturity(IborIndex,G32)</f>
        <v>42999</v>
      </c>
      <c r="I32" s="162">
        <f>(1-_xll.qlIndexFixing(IborIndex,F32,TRUE,AllTriggers))*100</f>
        <v>98.593067009659251</v>
      </c>
      <c r="J32" s="79" t="str">
        <f t="shared" si="1"/>
        <v>USD_CURVE_FUT3M_M7</v>
      </c>
      <c r="K32" s="79" t="str">
        <f t="shared" si="2"/>
        <v>EDM7</v>
      </c>
      <c r="M32" s="35" t="s">
        <v>36</v>
      </c>
      <c r="N32" s="34"/>
      <c r="O32" s="35" t="s">
        <v>32</v>
      </c>
      <c r="P32" s="35" t="s">
        <v>54</v>
      </c>
      <c r="Q32" s="35" t="s">
        <v>33</v>
      </c>
      <c r="R32" s="23"/>
      <c r="S32" s="23"/>
    </row>
    <row r="33" spans="4:17" x14ac:dyDescent="0.2">
      <c r="D33" s="83" t="s">
        <v>22</v>
      </c>
      <c r="E33" s="76" t="s">
        <v>98</v>
      </c>
      <c r="F33" s="94">
        <f>_xll.qlInterestRateIndexFixingDate(IborIndex,EffectiveDate,Trigger)</f>
        <v>42255</v>
      </c>
      <c r="G33" s="94">
        <f>_xll.qlInterestRateIndexValueDate(M33,F33)</f>
        <v>42257</v>
      </c>
      <c r="H33" s="94">
        <f>_xll.qlInterestRateIndexMaturity(M33,G33)</f>
        <v>42625</v>
      </c>
      <c r="I33" s="85">
        <f>_xll.qlIndexFixing(M33,F33,TRUE,AllTriggers)</f>
        <v>5.3880170896367296E-3</v>
      </c>
      <c r="J33" s="85" t="str">
        <f t="shared" ref="J33:J61" si="3">Currency&amp;"_CURVE_"&amp;CurveTenor&amp;"_"&amp;D33</f>
        <v>USD_CURVE_3M_1Y</v>
      </c>
      <c r="K33" s="85" t="s">
        <v>124</v>
      </c>
      <c r="L33" s="51"/>
      <c r="M33" s="52" t="str">
        <f>_xll.qlSwapIndex(,"NoFix",D33,2,Currency,Calendar,FixedLegTenor,FixedLegBDC,FixedLegDayCounter,IborIndex,DiscountingCurve,,Trigger)</f>
        <v>obj_0042a#0000</v>
      </c>
      <c r="N33" s="34"/>
      <c r="O33" s="36" t="s">
        <v>22</v>
      </c>
      <c r="P33" s="36" t="s">
        <v>39</v>
      </c>
      <c r="Q33" s="36" t="s">
        <v>99</v>
      </c>
    </row>
    <row r="34" spans="4:17" x14ac:dyDescent="0.2">
      <c r="D34" s="86"/>
      <c r="E34" s="77"/>
      <c r="F34" s="88"/>
      <c r="G34" s="88"/>
      <c r="H34" s="88"/>
      <c r="I34" s="80"/>
      <c r="J34" s="80"/>
      <c r="K34" s="80"/>
      <c r="L34" s="51"/>
      <c r="M34" s="52"/>
      <c r="N34" s="34"/>
      <c r="O34" s="37"/>
      <c r="P34" s="34"/>
      <c r="Q34" s="37"/>
    </row>
    <row r="35" spans="4:17" x14ac:dyDescent="0.2">
      <c r="D35" s="86"/>
      <c r="E35" s="77"/>
      <c r="F35" s="88"/>
      <c r="G35" s="88"/>
      <c r="H35" s="88"/>
      <c r="I35" s="80"/>
      <c r="J35" s="80"/>
      <c r="K35" s="80"/>
      <c r="L35" s="51"/>
      <c r="M35" s="52"/>
      <c r="N35" s="34"/>
      <c r="O35" s="37"/>
      <c r="P35" s="34"/>
      <c r="Q35" s="37"/>
    </row>
    <row r="36" spans="4:17" x14ac:dyDescent="0.2">
      <c r="D36" s="86"/>
      <c r="E36" s="77"/>
      <c r="F36" s="88"/>
      <c r="G36" s="88"/>
      <c r="H36" s="88"/>
      <c r="I36" s="80"/>
      <c r="J36" s="80"/>
      <c r="K36" s="80"/>
      <c r="L36" s="51"/>
      <c r="M36" s="52"/>
      <c r="N36" s="34"/>
      <c r="O36" s="37"/>
      <c r="P36" s="34"/>
      <c r="Q36" s="37"/>
    </row>
    <row r="37" spans="4:17" x14ac:dyDescent="0.2">
      <c r="D37" s="86" t="s">
        <v>23</v>
      </c>
      <c r="E37" s="77" t="s">
        <v>98</v>
      </c>
      <c r="F37" s="88">
        <f>_xll.qlInterestRateIndexFixingDate(IborIndex,EffectiveDate,Trigger)</f>
        <v>42255</v>
      </c>
      <c r="G37" s="88">
        <f>_xll.qlInterestRateIndexValueDate(M37,F37)</f>
        <v>42257</v>
      </c>
      <c r="H37" s="88">
        <f>_xll.qlInterestRateIndexMaturity(M37,G37)</f>
        <v>42989</v>
      </c>
      <c r="I37" s="80">
        <f>_xll.qlIndexFixing(M37,F37,TRUE,AllTriggers)</f>
        <v>8.5038491356892055E-3</v>
      </c>
      <c r="J37" s="80" t="str">
        <f t="shared" si="3"/>
        <v>USD_CURVE_3M_2Y</v>
      </c>
      <c r="K37" s="80" t="s">
        <v>125</v>
      </c>
      <c r="L37" s="51"/>
      <c r="M37" s="52" t="str">
        <f>_xll.qlSwapIndex(,"NoFix",D37,2,Currency,Calendar,FixedLegTenor,FixedLegBDC,FixedLegDayCounter,IborIndex,DiscountingCurve,,Trigger)</f>
        <v>obj_0044b#0000</v>
      </c>
      <c r="N37" s="34"/>
      <c r="O37" s="37"/>
      <c r="P37" s="34"/>
      <c r="Q37" s="37"/>
    </row>
    <row r="38" spans="4:17" x14ac:dyDescent="0.2">
      <c r="D38" s="86" t="s">
        <v>24</v>
      </c>
      <c r="E38" s="77" t="s">
        <v>98</v>
      </c>
      <c r="F38" s="88">
        <f>_xll.qlInterestRateIndexFixingDate(IborIndex,EffectiveDate,Trigger)</f>
        <v>42255</v>
      </c>
      <c r="G38" s="88">
        <f>_xll.qlInterestRateIndexValueDate(M38,F38)</f>
        <v>42257</v>
      </c>
      <c r="H38" s="88">
        <f>_xll.qlInterestRateIndexMaturity(M38,G38)</f>
        <v>43353</v>
      </c>
      <c r="I38" s="80">
        <f>_xll.qlIndexFixing(M38,F38,TRUE,AllTriggers)</f>
        <v>1.1239999999917467E-2</v>
      </c>
      <c r="J38" s="80" t="str">
        <f t="shared" si="3"/>
        <v>USD_CURVE_3M_3Y</v>
      </c>
      <c r="K38" s="80" t="s">
        <v>126</v>
      </c>
      <c r="L38" s="23"/>
      <c r="M38" s="52" t="str">
        <f>_xll.qlSwapIndex(,"NoFix",D38,2,Currency,Calendar,FixedLegTenor,FixedLegBDC,FixedLegDayCounter,IborIndex,DiscountingCurve,,Trigger)</f>
        <v>obj_0040b#0000</v>
      </c>
      <c r="N38" s="34"/>
      <c r="O38" s="37"/>
      <c r="P38" s="34"/>
      <c r="Q38" s="37"/>
    </row>
    <row r="39" spans="4:17" x14ac:dyDescent="0.2">
      <c r="D39" s="86" t="s">
        <v>25</v>
      </c>
      <c r="E39" s="77" t="s">
        <v>98</v>
      </c>
      <c r="F39" s="88">
        <f>_xll.qlInterestRateIndexFixingDate(IborIndex,EffectiveDate,Trigger)</f>
        <v>42255</v>
      </c>
      <c r="G39" s="88">
        <f>_xll.qlInterestRateIndexValueDate(M39,F39)</f>
        <v>42257</v>
      </c>
      <c r="H39" s="88">
        <f>_xll.qlInterestRateIndexMaturity(M39,G39)</f>
        <v>43718</v>
      </c>
      <c r="I39" s="80">
        <f>_xll.qlIndexFixing(M39,F39,TRUE,AllTriggers)</f>
        <v>1.3639999999936561E-2</v>
      </c>
      <c r="J39" s="80" t="str">
        <f t="shared" si="3"/>
        <v>USD_CURVE_3M_4Y</v>
      </c>
      <c r="K39" s="80" t="s">
        <v>127</v>
      </c>
      <c r="L39" s="23"/>
      <c r="M39" s="52" t="str">
        <f>_xll.qlSwapIndex(,"NoFix",D39,2,Currency,Calendar,FixedLegTenor,FixedLegBDC,FixedLegDayCounter,IborIndex,DiscountingCurve,,Trigger)</f>
        <v>obj_00402#0000</v>
      </c>
      <c r="N39" s="34"/>
      <c r="O39" s="37"/>
      <c r="P39" s="34"/>
      <c r="Q39" s="37"/>
    </row>
    <row r="40" spans="4:17" x14ac:dyDescent="0.2">
      <c r="D40" s="86" t="s">
        <v>26</v>
      </c>
      <c r="E40" s="77" t="s">
        <v>98</v>
      </c>
      <c r="F40" s="88">
        <f>_xll.qlInterestRateIndexFixingDate(IborIndex,EffectiveDate,Trigger)</f>
        <v>42255</v>
      </c>
      <c r="G40" s="88">
        <f>_xll.qlInterestRateIndexValueDate(M40,F40)</f>
        <v>42257</v>
      </c>
      <c r="H40" s="88">
        <f>_xll.qlInterestRateIndexMaturity(M40,G40)</f>
        <v>44084</v>
      </c>
      <c r="I40" s="80">
        <f>_xll.qlIndexFixing(M40,F40,TRUE,AllTriggers)</f>
        <v>1.5709999999937056E-2</v>
      </c>
      <c r="J40" s="80" t="str">
        <f t="shared" si="3"/>
        <v>USD_CURVE_3M_5Y</v>
      </c>
      <c r="K40" s="80" t="s">
        <v>128</v>
      </c>
      <c r="L40" s="23"/>
      <c r="M40" s="52" t="str">
        <f>_xll.qlSwapIndex(,"NoFix",D40,2,Currency,Calendar,FixedLegTenor,FixedLegBDC,FixedLegDayCounter,IborIndex,DiscountingCurve,,Trigger)</f>
        <v>obj_003ef#0000</v>
      </c>
      <c r="N40" s="34"/>
      <c r="O40" s="37"/>
      <c r="P40" s="34"/>
      <c r="Q40" s="37"/>
    </row>
    <row r="41" spans="4:17" x14ac:dyDescent="0.2">
      <c r="D41" s="86" t="s">
        <v>72</v>
      </c>
      <c r="E41" s="77" t="s">
        <v>98</v>
      </c>
      <c r="F41" s="88">
        <f>_xll.qlInterestRateIndexFixingDate(IborIndex,EffectiveDate,Trigger)</f>
        <v>42255</v>
      </c>
      <c r="G41" s="88">
        <f>_xll.qlInterestRateIndexValueDate(M41,F41)</f>
        <v>42257</v>
      </c>
      <c r="H41" s="88">
        <f>_xll.qlInterestRateIndexMaturity(M41,G41)</f>
        <v>44449</v>
      </c>
      <c r="I41" s="80">
        <f>_xll.qlIndexFixing(M41,F41,TRUE,AllTriggers)</f>
        <v>1.7469999999948551E-2</v>
      </c>
      <c r="J41" s="80" t="str">
        <f t="shared" si="3"/>
        <v>USD_CURVE_3M_6Y</v>
      </c>
      <c r="K41" s="80" t="s">
        <v>129</v>
      </c>
      <c r="L41" s="23"/>
      <c r="M41" s="52" t="str">
        <f>_xll.qlSwapIndex(,"NoFix",D41,2,Currency,Calendar,FixedLegTenor,FixedLegBDC,FixedLegDayCounter,IborIndex,DiscountingCurve,,Trigger)</f>
        <v>obj_003fa#0000</v>
      </c>
      <c r="N41" s="34"/>
      <c r="O41" s="37"/>
      <c r="P41" s="34"/>
      <c r="Q41" s="37"/>
    </row>
    <row r="42" spans="4:17" x14ac:dyDescent="0.2">
      <c r="D42" s="86" t="s">
        <v>27</v>
      </c>
      <c r="E42" s="77" t="s">
        <v>98</v>
      </c>
      <c r="F42" s="88">
        <f>_xll.qlInterestRateIndexFixingDate(IborIndex,EffectiveDate,Trigger)</f>
        <v>42255</v>
      </c>
      <c r="G42" s="88">
        <f>_xll.qlInterestRateIndexValueDate(M42,F42)</f>
        <v>42257</v>
      </c>
      <c r="H42" s="88">
        <f>_xll.qlInterestRateIndexMaturity(M42,G42)</f>
        <v>44816</v>
      </c>
      <c r="I42" s="80">
        <f>_xll.qlIndexFixing(M42,F42,TRUE,AllTriggers)</f>
        <v>1.8949999999934665E-2</v>
      </c>
      <c r="J42" s="80" t="str">
        <f t="shared" si="3"/>
        <v>USD_CURVE_3M_7Y</v>
      </c>
      <c r="K42" s="80" t="s">
        <v>130</v>
      </c>
      <c r="L42" s="23"/>
      <c r="M42" s="52" t="str">
        <f>_xll.qlSwapIndex(,"NoFix",D42,2,Currency,Calendar,FixedLegTenor,FixedLegBDC,FixedLegDayCounter,IborIndex,DiscountingCurve,,Trigger)</f>
        <v>obj_0042f#0000</v>
      </c>
      <c r="N42" s="34"/>
      <c r="O42" s="37"/>
      <c r="P42" s="34"/>
      <c r="Q42" s="37"/>
    </row>
    <row r="43" spans="4:17" x14ac:dyDescent="0.2">
      <c r="D43" s="86" t="s">
        <v>73</v>
      </c>
      <c r="E43" s="77" t="s">
        <v>98</v>
      </c>
      <c r="F43" s="88">
        <f>_xll.qlInterestRateIndexFixingDate(IborIndex,EffectiveDate,Trigger)</f>
        <v>42255</v>
      </c>
      <c r="G43" s="88">
        <f>_xll.qlInterestRateIndexValueDate(M43,F43)</f>
        <v>42257</v>
      </c>
      <c r="H43" s="88">
        <f>_xll.qlInterestRateIndexMaturity(M43,G43)</f>
        <v>45180</v>
      </c>
      <c r="I43" s="80">
        <f>_xll.qlIndexFixing(M43,F43,TRUE,AllTriggers)</f>
        <v>2.0169999999984371E-2</v>
      </c>
      <c r="J43" s="80" t="str">
        <f t="shared" si="3"/>
        <v>USD_CURVE_3M_8Y</v>
      </c>
      <c r="K43" s="80" t="s">
        <v>131</v>
      </c>
      <c r="L43" s="23"/>
      <c r="M43" s="52" t="str">
        <f>_xll.qlSwapIndex(,"NoFix",D43,2,Currency,Calendar,FixedLegTenor,FixedLegBDC,FixedLegDayCounter,IborIndex,DiscountingCurve,,Trigger)</f>
        <v>obj_003dc#0000</v>
      </c>
      <c r="N43" s="34"/>
      <c r="O43" s="34"/>
      <c r="P43" s="34"/>
      <c r="Q43" s="34"/>
    </row>
    <row r="44" spans="4:17" x14ac:dyDescent="0.2">
      <c r="D44" s="86" t="s">
        <v>74</v>
      </c>
      <c r="E44" s="77" t="s">
        <v>98</v>
      </c>
      <c r="F44" s="88">
        <f>_xll.qlInterestRateIndexFixingDate(IborIndex,EffectiveDate,Trigger)</f>
        <v>42255</v>
      </c>
      <c r="G44" s="88">
        <f>_xll.qlInterestRateIndexValueDate(M44,F44)</f>
        <v>42257</v>
      </c>
      <c r="H44" s="88">
        <f>_xll.qlInterestRateIndexMaturity(M44,G44)</f>
        <v>45545</v>
      </c>
      <c r="I44" s="80">
        <f>_xll.qlIndexFixing(M44,F44,TRUE,AllTriggers)</f>
        <v>2.1170000000001743E-2</v>
      </c>
      <c r="J44" s="80" t="str">
        <f t="shared" si="3"/>
        <v>USD_CURVE_3M_9Y</v>
      </c>
      <c r="K44" s="80" t="s">
        <v>132</v>
      </c>
      <c r="L44" s="34"/>
      <c r="M44" s="52" t="str">
        <f>_xll.qlSwapIndex(,"NoFix",D44,2,Currency,Calendar,FixedLegTenor,FixedLegBDC,FixedLegDayCounter,IborIndex,DiscountingCurve,,Trigger)</f>
        <v>obj_003ee#0000</v>
      </c>
      <c r="N44" s="34"/>
      <c r="O44" s="34"/>
      <c r="P44" s="34"/>
      <c r="Q44" s="34"/>
    </row>
    <row r="45" spans="4:17" x14ac:dyDescent="0.2">
      <c r="D45" s="86" t="s">
        <v>28</v>
      </c>
      <c r="E45" s="77" t="s">
        <v>98</v>
      </c>
      <c r="F45" s="88">
        <f>_xll.qlInterestRateIndexFixingDate(IborIndex,EffectiveDate,Trigger)</f>
        <v>42255</v>
      </c>
      <c r="G45" s="88">
        <f>_xll.qlInterestRateIndexValueDate(M45,F45)</f>
        <v>42257</v>
      </c>
      <c r="H45" s="88">
        <f>_xll.qlInterestRateIndexMaturity(M45,G45)</f>
        <v>45910</v>
      </c>
      <c r="I45" s="80">
        <f>_xll.qlIndexFixing(M45,F45,TRUE,AllTriggers)</f>
        <v>2.1999999999909668E-2</v>
      </c>
      <c r="J45" s="80" t="str">
        <f t="shared" si="3"/>
        <v>USD_CURVE_3M_10Y</v>
      </c>
      <c r="K45" s="80" t="s">
        <v>133</v>
      </c>
      <c r="L45" s="34"/>
      <c r="M45" s="52" t="str">
        <f>_xll.qlSwapIndex(,"NoFix",D45,2,Currency,Calendar,FixedLegTenor,FixedLegBDC,FixedLegDayCounter,IborIndex,DiscountingCurve,,Trigger)</f>
        <v>obj_003eb#0000</v>
      </c>
      <c r="N45" s="34"/>
      <c r="O45" s="34"/>
      <c r="P45" s="34"/>
      <c r="Q45" s="34"/>
    </row>
    <row r="46" spans="4:17" x14ac:dyDescent="0.2">
      <c r="D46" s="86" t="s">
        <v>75</v>
      </c>
      <c r="E46" s="77" t="s">
        <v>98</v>
      </c>
      <c r="F46" s="88">
        <f>_xll.qlInterestRateIndexFixingDate(IborIndex,EffectiveDate,Trigger)</f>
        <v>42255</v>
      </c>
      <c r="G46" s="88">
        <f>_xll.qlInterestRateIndexValueDate(M46,F46)</f>
        <v>42257</v>
      </c>
      <c r="H46" s="88">
        <f>_xll.qlInterestRateIndexMaturity(M46,G46)</f>
        <v>46275</v>
      </c>
      <c r="I46" s="80">
        <f>_xll.qlIndexFixing(M46,F46,TRUE,AllTriggers)</f>
        <v>2.2717155654692858E-2</v>
      </c>
      <c r="J46" s="80" t="str">
        <f t="shared" si="3"/>
        <v>USD_CURVE_3M_11Y</v>
      </c>
      <c r="K46" s="80" t="s">
        <v>134</v>
      </c>
      <c r="L46" s="34"/>
      <c r="M46" s="52" t="str">
        <f>_xll.qlSwapIndex(,"NoFix",D46,2,Currency,Calendar,FixedLegTenor,FixedLegBDC,FixedLegDayCounter,IborIndex,DiscountingCurve,,Trigger)</f>
        <v>obj_003d6#0000</v>
      </c>
      <c r="N46" s="34"/>
      <c r="O46" s="34"/>
      <c r="P46" s="34"/>
      <c r="Q46" s="34"/>
    </row>
    <row r="47" spans="4:17" x14ac:dyDescent="0.2">
      <c r="D47" s="86" t="s">
        <v>29</v>
      </c>
      <c r="E47" s="77" t="s">
        <v>98</v>
      </c>
      <c r="F47" s="88">
        <f>_xll.qlInterestRateIndexFixingDate(IborIndex,EffectiveDate,Trigger)</f>
        <v>42255</v>
      </c>
      <c r="G47" s="88">
        <f>_xll.qlInterestRateIndexValueDate(M47,F47)</f>
        <v>42257</v>
      </c>
      <c r="H47" s="88">
        <f>_xll.qlInterestRateIndexMaturity(M47,G47)</f>
        <v>46640</v>
      </c>
      <c r="I47" s="80">
        <f>_xll.qlIndexFixing(M47,F47,TRUE,AllTriggers)</f>
        <v>2.3330000000010134E-2</v>
      </c>
      <c r="J47" s="80" t="str">
        <f t="shared" si="3"/>
        <v>USD_CURVE_3M_12Y</v>
      </c>
      <c r="K47" s="80" t="s">
        <v>135</v>
      </c>
      <c r="L47" s="34"/>
      <c r="M47" s="52" t="str">
        <f>_xll.qlSwapIndex(,"NoFix",D47,2,Currency,Calendar,FixedLegTenor,FixedLegBDC,FixedLegDayCounter,IborIndex,DiscountingCurve,,Trigger)</f>
        <v>obj_003e5#0000</v>
      </c>
      <c r="N47" s="34"/>
      <c r="O47" s="34"/>
      <c r="P47" s="34"/>
      <c r="Q47" s="34"/>
    </row>
    <row r="48" spans="4:17" x14ac:dyDescent="0.2">
      <c r="D48" s="86" t="s">
        <v>76</v>
      </c>
      <c r="E48" s="77" t="s">
        <v>98</v>
      </c>
      <c r="F48" s="88">
        <f>_xll.qlInterestRateIndexFixingDate(IborIndex,EffectiveDate,Trigger)</f>
        <v>42255</v>
      </c>
      <c r="G48" s="88">
        <f>_xll.qlInterestRateIndexValueDate(M48,F48)</f>
        <v>42257</v>
      </c>
      <c r="H48" s="88">
        <f>_xll.qlInterestRateIndexMaturity(M48,G48)</f>
        <v>47007</v>
      </c>
      <c r="I48" s="80">
        <f>_xll.qlIndexFixing(M48,F48,TRUE,AllTriggers)</f>
        <v>2.3844460941340198E-2</v>
      </c>
      <c r="J48" s="80" t="str">
        <f t="shared" si="3"/>
        <v>USD_CURVE_3M_13Y</v>
      </c>
      <c r="K48" s="80" t="s">
        <v>136</v>
      </c>
      <c r="L48" s="34"/>
      <c r="M48" s="52" t="str">
        <f>_xll.qlSwapIndex(,"NoFix",D48,2,Currency,Calendar,FixedLegTenor,FixedLegBDC,FixedLegDayCounter,IborIndex,DiscountingCurve,,Trigger)</f>
        <v>obj_0041f#0000</v>
      </c>
      <c r="N48" s="34"/>
      <c r="O48" s="34"/>
      <c r="P48" s="34"/>
      <c r="Q48" s="34"/>
    </row>
    <row r="49" spans="4:17" x14ac:dyDescent="0.2">
      <c r="D49" s="86" t="s">
        <v>77</v>
      </c>
      <c r="E49" s="77" t="s">
        <v>98</v>
      </c>
      <c r="F49" s="88">
        <f>_xll.qlInterestRateIndexFixingDate(IborIndex,EffectiveDate,Trigger)</f>
        <v>42255</v>
      </c>
      <c r="G49" s="88">
        <f>_xll.qlInterestRateIndexValueDate(M49,F49)</f>
        <v>42257</v>
      </c>
      <c r="H49" s="88">
        <f>_xll.qlInterestRateIndexMaturity(M49,G49)</f>
        <v>47371</v>
      </c>
      <c r="I49" s="80">
        <f>_xll.qlIndexFixing(M49,F49,TRUE,AllTriggers)</f>
        <v>2.4273178512922676E-2</v>
      </c>
      <c r="J49" s="80" t="str">
        <f t="shared" si="3"/>
        <v>USD_CURVE_3M_14Y</v>
      </c>
      <c r="K49" s="80" t="s">
        <v>137</v>
      </c>
      <c r="L49" s="34"/>
      <c r="M49" s="52" t="str">
        <f>_xll.qlSwapIndex(,"NoFix",D49,2,Currency,Calendar,FixedLegTenor,FixedLegBDC,FixedLegDayCounter,IborIndex,DiscountingCurve,,Trigger)</f>
        <v>obj_00405#0000</v>
      </c>
      <c r="N49" s="34"/>
      <c r="O49" s="34"/>
      <c r="P49" s="34"/>
      <c r="Q49" s="34"/>
    </row>
    <row r="50" spans="4:17" x14ac:dyDescent="0.2">
      <c r="D50" s="86" t="s">
        <v>30</v>
      </c>
      <c r="E50" s="77" t="s">
        <v>98</v>
      </c>
      <c r="F50" s="88">
        <f>_xll.qlInterestRateIndexFixingDate(IborIndex,EffectiveDate,Trigger)</f>
        <v>42255</v>
      </c>
      <c r="G50" s="88">
        <f>_xll.qlInterestRateIndexValueDate(M50,F50)</f>
        <v>42257</v>
      </c>
      <c r="H50" s="88">
        <f>_xll.qlInterestRateIndexMaturity(M50,G50)</f>
        <v>47736</v>
      </c>
      <c r="I50" s="80">
        <f>_xll.qlIndexFixing(M50,F50,TRUE,AllTriggers)</f>
        <v>2.4639999999966564E-2</v>
      </c>
      <c r="J50" s="80" t="str">
        <f t="shared" si="3"/>
        <v>USD_CURVE_3M_15Y</v>
      </c>
      <c r="K50" s="80" t="s">
        <v>138</v>
      </c>
      <c r="L50" s="34"/>
      <c r="M50" s="52" t="str">
        <f>_xll.qlSwapIndex(,"NoFix",D50,2,Currency,Calendar,FixedLegTenor,FixedLegBDC,FixedLegDayCounter,IborIndex,DiscountingCurve,,Trigger)</f>
        <v>obj_0044c#0000</v>
      </c>
      <c r="N50" s="34"/>
      <c r="O50" s="34"/>
      <c r="P50" s="34"/>
      <c r="Q50" s="34"/>
    </row>
    <row r="51" spans="4:17" x14ac:dyDescent="0.2">
      <c r="D51" s="86" t="s">
        <v>78</v>
      </c>
      <c r="E51" s="77" t="s">
        <v>98</v>
      </c>
      <c r="F51" s="88">
        <f>_xll.qlInterestRateIndexFixingDate(IborIndex,EffectiveDate,Trigger)</f>
        <v>42255</v>
      </c>
      <c r="G51" s="88">
        <f>_xll.qlInterestRateIndexValueDate(M51,F51)</f>
        <v>42257</v>
      </c>
      <c r="H51" s="88">
        <f>_xll.qlInterestRateIndexMaturity(M51,G51)</f>
        <v>48101</v>
      </c>
      <c r="I51" s="80">
        <f>_xll.qlIndexFixing(M51,F51,TRUE,AllTriggers)</f>
        <v>2.495662241233829E-2</v>
      </c>
      <c r="J51" s="80" t="str">
        <f t="shared" si="3"/>
        <v>USD_CURVE_3M_16Y</v>
      </c>
      <c r="K51" s="80" t="s">
        <v>139</v>
      </c>
      <c r="L51" s="34"/>
      <c r="M51" s="52" t="str">
        <f>_xll.qlSwapIndex(,"NoFix",D51,2,Currency,Calendar,FixedLegTenor,FixedLegBDC,FixedLegDayCounter,IborIndex,DiscountingCurve,,Trigger)</f>
        <v>obj_003e2#0000</v>
      </c>
      <c r="N51" s="34"/>
      <c r="O51" s="34"/>
      <c r="P51" s="34"/>
      <c r="Q51" s="34"/>
    </row>
    <row r="52" spans="4:17" x14ac:dyDescent="0.2">
      <c r="D52" s="86" t="s">
        <v>79</v>
      </c>
      <c r="E52" s="77" t="s">
        <v>98</v>
      </c>
      <c r="F52" s="88">
        <f>_xll.qlInterestRateIndexFixingDate(IborIndex,EffectiveDate,Trigger)</f>
        <v>42255</v>
      </c>
      <c r="G52" s="88">
        <f>_xll.qlInterestRateIndexValueDate(M52,F52)</f>
        <v>42257</v>
      </c>
      <c r="H52" s="88">
        <f>_xll.qlInterestRateIndexMaturity(M52,G52)</f>
        <v>48467</v>
      </c>
      <c r="I52" s="80">
        <f>_xll.qlIndexFixing(M52,F52,TRUE,AllTriggers)</f>
        <v>2.5231596175701639E-2</v>
      </c>
      <c r="J52" s="80" t="str">
        <f t="shared" si="3"/>
        <v>USD_CURVE_3M_17Y</v>
      </c>
      <c r="K52" s="80" t="s">
        <v>140</v>
      </c>
      <c r="L52" s="34"/>
      <c r="M52" s="52" t="str">
        <f>_xll.qlSwapIndex(,"NoFix",D52,2,Currency,Calendar,FixedLegTenor,FixedLegBDC,FixedLegDayCounter,IborIndex,DiscountingCurve,,Trigger)</f>
        <v>obj_00449#0000</v>
      </c>
      <c r="N52" s="34"/>
      <c r="O52" s="34"/>
      <c r="P52" s="34"/>
      <c r="Q52" s="34"/>
    </row>
    <row r="53" spans="4:17" x14ac:dyDescent="0.2">
      <c r="D53" s="86" t="s">
        <v>80</v>
      </c>
      <c r="E53" s="77" t="s">
        <v>98</v>
      </c>
      <c r="F53" s="88">
        <f>_xll.qlInterestRateIndexFixingDate(IborIndex,EffectiveDate,Trigger)</f>
        <v>42255</v>
      </c>
      <c r="G53" s="88">
        <f>_xll.qlInterestRateIndexValueDate(M53,F53)</f>
        <v>42257</v>
      </c>
      <c r="H53" s="88">
        <f>_xll.qlInterestRateIndexMaturity(M53,G53)</f>
        <v>48834</v>
      </c>
      <c r="I53" s="80">
        <f>_xll.qlIndexFixing(M53,F53,TRUE,AllTriggers)</f>
        <v>2.5470207854342401E-2</v>
      </c>
      <c r="J53" s="80" t="str">
        <f t="shared" si="3"/>
        <v>USD_CURVE_3M_18Y</v>
      </c>
      <c r="K53" s="80" t="s">
        <v>141</v>
      </c>
      <c r="L53" s="34"/>
      <c r="M53" s="52" t="str">
        <f>_xll.qlSwapIndex(,"NoFix",D53,2,Currency,Calendar,FixedLegTenor,FixedLegBDC,FixedLegDayCounter,IborIndex,DiscountingCurve,,Trigger)</f>
        <v>obj_00431#0000</v>
      </c>
      <c r="N53" s="34"/>
      <c r="O53" s="34"/>
      <c r="P53" s="34"/>
      <c r="Q53" s="34"/>
    </row>
    <row r="54" spans="4:17" x14ac:dyDescent="0.2">
      <c r="D54" s="86" t="s">
        <v>81</v>
      </c>
      <c r="E54" s="77" t="s">
        <v>98</v>
      </c>
      <c r="F54" s="88">
        <f>_xll.qlInterestRateIndexFixingDate(IborIndex,EffectiveDate,Trigger)</f>
        <v>42255</v>
      </c>
      <c r="G54" s="88">
        <f>_xll.qlInterestRateIndexValueDate(M54,F54)</f>
        <v>42257</v>
      </c>
      <c r="H54" s="88">
        <f>_xll.qlInterestRateIndexMaturity(M54,G54)</f>
        <v>49198</v>
      </c>
      <c r="I54" s="80">
        <f>_xll.qlIndexFixing(M54,F54,TRUE,AllTriggers)</f>
        <v>2.5674418617035771E-2</v>
      </c>
      <c r="J54" s="80" t="str">
        <f t="shared" si="3"/>
        <v>USD_CURVE_3M_19Y</v>
      </c>
      <c r="K54" s="80" t="s">
        <v>142</v>
      </c>
      <c r="L54" s="34"/>
      <c r="M54" s="52" t="str">
        <f>_xll.qlSwapIndex(,"NoFix",D54,2,Currency,Calendar,FixedLegTenor,FixedLegBDC,FixedLegDayCounter,IborIndex,DiscountingCurve,,Trigger)</f>
        <v>obj_00436#0000</v>
      </c>
      <c r="N54" s="34"/>
      <c r="O54" s="34"/>
      <c r="P54" s="34"/>
      <c r="Q54" s="34"/>
    </row>
    <row r="55" spans="4:17" x14ac:dyDescent="0.2">
      <c r="D55" s="86" t="s">
        <v>82</v>
      </c>
      <c r="E55" s="77" t="s">
        <v>98</v>
      </c>
      <c r="F55" s="88">
        <f>_xll.qlInterestRateIndexFixingDate(IborIndex,EffectiveDate,Trigger)</f>
        <v>42255</v>
      </c>
      <c r="G55" s="88">
        <f>_xll.qlInterestRateIndexValueDate(M55,F55)</f>
        <v>42257</v>
      </c>
      <c r="H55" s="88">
        <f>_xll.qlInterestRateIndexMaturity(M55,G55)</f>
        <v>49562</v>
      </c>
      <c r="I55" s="80">
        <f>_xll.qlIndexFixing(M55,F55,TRUE,AllTriggers)</f>
        <v>2.5850000000038131E-2</v>
      </c>
      <c r="J55" s="80" t="str">
        <f t="shared" si="3"/>
        <v>USD_CURVE_3M_20Y</v>
      </c>
      <c r="K55" s="80" t="s">
        <v>143</v>
      </c>
      <c r="L55" s="34"/>
      <c r="M55" s="52" t="str">
        <f>_xll.qlSwapIndex(,"NoFix",D55,2,Currency,Calendar,FixedLegTenor,FixedLegBDC,FixedLegDayCounter,IborIndex,DiscountingCurve,,Trigger)</f>
        <v>obj_0041a#0000</v>
      </c>
    </row>
    <row r="56" spans="4:17" x14ac:dyDescent="0.2">
      <c r="D56" s="86" t="s">
        <v>83</v>
      </c>
      <c r="E56" s="77" t="s">
        <v>98</v>
      </c>
      <c r="F56" s="88">
        <f>_xll.qlInterestRateIndexFixingDate(IborIndex,EffectiveDate,Trigger)</f>
        <v>42255</v>
      </c>
      <c r="G56" s="88">
        <f>_xll.qlInterestRateIndexValueDate(M56,F56)</f>
        <v>42257</v>
      </c>
      <c r="H56" s="88">
        <f>_xll.qlInterestRateIndexMaturity(M56,G56)</f>
        <v>49928</v>
      </c>
      <c r="I56" s="80">
        <f>_xll.qlIndexFixing(M56,F56,TRUE,AllTriggers)</f>
        <v>2.6001214339035406E-2</v>
      </c>
      <c r="J56" s="80" t="str">
        <f t="shared" si="3"/>
        <v>USD_CURVE_3M_21Y</v>
      </c>
      <c r="K56" s="80" t="s">
        <v>144</v>
      </c>
      <c r="M56" s="52" t="str">
        <f>_xll.qlSwapIndex(,"NoFix",D56,2,Currency,Calendar,FixedLegTenor,FixedLegBDC,FixedLegDayCounter,IborIndex,DiscountingCurve,,Trigger)</f>
        <v>obj_00419#0000</v>
      </c>
    </row>
    <row r="57" spans="4:17" x14ac:dyDescent="0.2">
      <c r="D57" s="86" t="s">
        <v>84</v>
      </c>
      <c r="E57" s="77" t="s">
        <v>98</v>
      </c>
      <c r="F57" s="88">
        <f>_xll.qlInterestRateIndexFixingDate(IborIndex,EffectiveDate,Trigger)</f>
        <v>42255</v>
      </c>
      <c r="G57" s="88">
        <f>_xll.qlInterestRateIndexValueDate(M57,F57)</f>
        <v>42257</v>
      </c>
      <c r="H57" s="88">
        <f>_xll.qlInterestRateIndexMaturity(M57,G57)</f>
        <v>50293</v>
      </c>
      <c r="I57" s="80">
        <f>_xll.qlIndexFixing(M57,F57,TRUE,AllTriggers)</f>
        <v>2.6131457112182659E-2</v>
      </c>
      <c r="J57" s="80" t="str">
        <f t="shared" si="3"/>
        <v>USD_CURVE_3M_22Y</v>
      </c>
      <c r="K57" s="80" t="s">
        <v>145</v>
      </c>
      <c r="M57" s="52" t="str">
        <f>_xll.qlSwapIndex(,"NoFix",D57,2,Currency,Calendar,FixedLegTenor,FixedLegBDC,FixedLegDayCounter,IborIndex,DiscountingCurve,,Trigger)</f>
        <v>obj_003ea#0000</v>
      </c>
    </row>
    <row r="58" spans="4:17" x14ac:dyDescent="0.2">
      <c r="D58" s="86" t="s">
        <v>85</v>
      </c>
      <c r="E58" s="77" t="s">
        <v>98</v>
      </c>
      <c r="F58" s="88">
        <f>_xll.qlInterestRateIndexFixingDate(IborIndex,EffectiveDate,Trigger)</f>
        <v>42255</v>
      </c>
      <c r="G58" s="88">
        <f>_xll.qlInterestRateIndexValueDate(M58,F58)</f>
        <v>42257</v>
      </c>
      <c r="H58" s="88">
        <f>_xll.qlInterestRateIndexMaturity(M58,G58)</f>
        <v>50658</v>
      </c>
      <c r="I58" s="80">
        <f>_xll.qlIndexFixing(M58,F58,TRUE,AllTriggers)</f>
        <v>2.6245639958868774E-2</v>
      </c>
      <c r="J58" s="80" t="str">
        <f t="shared" si="3"/>
        <v>USD_CURVE_3M_23Y</v>
      </c>
      <c r="K58" s="80" t="s">
        <v>146</v>
      </c>
      <c r="M58" s="52" t="str">
        <f>_xll.qlSwapIndex(,"NoFix",D58,2,Currency,Calendar,FixedLegTenor,FixedLegBDC,FixedLegDayCounter,IborIndex,DiscountingCurve,,Trigger)</f>
        <v>obj_00441#0000</v>
      </c>
    </row>
    <row r="59" spans="4:17" x14ac:dyDescent="0.2">
      <c r="D59" s="86" t="s">
        <v>86</v>
      </c>
      <c r="E59" s="77" t="s">
        <v>98</v>
      </c>
      <c r="F59" s="88">
        <f>_xll.qlInterestRateIndexFixingDate(IborIndex,EffectiveDate,Trigger)</f>
        <v>42255</v>
      </c>
      <c r="G59" s="88">
        <f>_xll.qlInterestRateIndexValueDate(M59,F59)</f>
        <v>42257</v>
      </c>
      <c r="H59" s="88">
        <f>_xll.qlInterestRateIndexMaturity(M59,G59)</f>
        <v>51025</v>
      </c>
      <c r="I59" s="80">
        <f>_xll.qlIndexFixing(M59,F59,TRUE,AllTriggers)</f>
        <v>2.6347986746068499E-2</v>
      </c>
      <c r="J59" s="80" t="str">
        <f t="shared" si="3"/>
        <v>USD_CURVE_3M_24Y</v>
      </c>
      <c r="K59" s="80" t="s">
        <v>147</v>
      </c>
      <c r="M59" s="52" t="str">
        <f>_xll.qlSwapIndex(,"NoFix",D59,2,Currency,Calendar,FixedLegTenor,FixedLegBDC,FixedLegDayCounter,IborIndex,DiscountingCurve,,Trigger)</f>
        <v>obj_003d0#0000</v>
      </c>
    </row>
    <row r="60" spans="4:17" x14ac:dyDescent="0.2">
      <c r="D60" s="86" t="s">
        <v>87</v>
      </c>
      <c r="E60" s="77" t="s">
        <v>98</v>
      </c>
      <c r="F60" s="88">
        <f>_xll.qlInterestRateIndexFixingDate(IborIndex,EffectiveDate,Trigger)</f>
        <v>42255</v>
      </c>
      <c r="G60" s="88">
        <f>_xll.qlInterestRateIndexValueDate(M60,F60)</f>
        <v>42257</v>
      </c>
      <c r="H60" s="88">
        <f>_xll.qlInterestRateIndexMaturity(M60,G60)</f>
        <v>51389</v>
      </c>
      <c r="I60" s="80">
        <f>_xll.qlIndexFixing(M60,F60,TRUE,AllTriggers)</f>
        <v>2.6439999999996223E-2</v>
      </c>
      <c r="J60" s="80" t="str">
        <f t="shared" si="3"/>
        <v>USD_CURVE_3M_25Y</v>
      </c>
      <c r="K60" s="80" t="s">
        <v>148</v>
      </c>
      <c r="M60" s="52" t="str">
        <f>_xll.qlSwapIndex(,"NoFix",D60,2,Currency,Calendar,FixedLegTenor,FixedLegBDC,FixedLegDayCounter,IborIndex,DiscountingCurve,,Trigger)</f>
        <v>obj_0043c#0000</v>
      </c>
    </row>
    <row r="61" spans="4:17" x14ac:dyDescent="0.2">
      <c r="D61" s="86" t="s">
        <v>88</v>
      </c>
      <c r="E61" s="77" t="s">
        <v>98</v>
      </c>
      <c r="F61" s="88">
        <f>_xll.qlInterestRateIndexFixingDate(IborIndex,EffectiveDate,Trigger)</f>
        <v>42255</v>
      </c>
      <c r="G61" s="88">
        <f>_xll.qlInterestRateIndexValueDate(M61,F61)</f>
        <v>42257</v>
      </c>
      <c r="H61" s="88">
        <f>_xll.qlInterestRateIndexMaturity(M61,G61)</f>
        <v>51754</v>
      </c>
      <c r="I61" s="80">
        <f>_xll.qlIndexFixing(M61,F61,TRUE,AllTriggers)</f>
        <v>2.6524947836535709E-2</v>
      </c>
      <c r="J61" s="80" t="str">
        <f t="shared" si="3"/>
        <v>USD_CURVE_3M_26Y</v>
      </c>
      <c r="K61" s="80" t="s">
        <v>149</v>
      </c>
      <c r="M61" s="52" t="str">
        <f>_xll.qlSwapIndex(,"NoFix",D61,2,Currency,Calendar,FixedLegTenor,FixedLegBDC,FixedLegDayCounter,IborIndex,DiscountingCurve,,Trigger)</f>
        <v>obj_0045b#0000</v>
      </c>
    </row>
    <row r="62" spans="4:17" x14ac:dyDescent="0.2">
      <c r="D62" s="86" t="s">
        <v>89</v>
      </c>
      <c r="E62" s="77" t="s">
        <v>98</v>
      </c>
      <c r="F62" s="88">
        <f>_xll.qlInterestRateIndexFixingDate(IborIndex,EffectiveDate,Trigger)</f>
        <v>42255</v>
      </c>
      <c r="G62" s="88">
        <f>_xll.qlInterestRateIndexValueDate(M62,F62)</f>
        <v>42257</v>
      </c>
      <c r="H62" s="88">
        <f>_xll.qlInterestRateIndexMaturity(M62,G62)</f>
        <v>52119</v>
      </c>
      <c r="I62" s="80">
        <f>_xll.qlIndexFixing(M62,F62,TRUE,AllTriggers)</f>
        <v>2.6602631893517189E-2</v>
      </c>
      <c r="J62" s="80" t="str">
        <f t="shared" ref="J62:J68" si="4">Currency&amp;"_CURVE_"&amp;CurveTenor&amp;"_"&amp;D62</f>
        <v>USD_CURVE_3M_27Y</v>
      </c>
      <c r="K62" s="80" t="s">
        <v>150</v>
      </c>
      <c r="M62" s="52" t="str">
        <f>_xll.qlSwapIndex(,"NoFix",D62,2,Currency,Calendar,FixedLegTenor,FixedLegBDC,FixedLegDayCounter,IborIndex,DiscountingCurve,,Trigger)</f>
        <v>obj_003f3#0000</v>
      </c>
    </row>
    <row r="63" spans="4:17" x14ac:dyDescent="0.2">
      <c r="D63" s="86" t="s">
        <v>90</v>
      </c>
      <c r="E63" s="77" t="s">
        <v>98</v>
      </c>
      <c r="F63" s="88">
        <f>_xll.qlInterestRateIndexFixingDate(IborIndex,EffectiveDate,Trigger)</f>
        <v>42255</v>
      </c>
      <c r="G63" s="88">
        <f>_xll.qlInterestRateIndexValueDate(M63,F63)</f>
        <v>42257</v>
      </c>
      <c r="H63" s="88">
        <f>_xll.qlInterestRateIndexMaturity(M63,G63)</f>
        <v>52484</v>
      </c>
      <c r="I63" s="80">
        <f>_xll.qlIndexFixing(M63,F63,TRUE,AllTriggers)</f>
        <v>2.6672773316215252E-2</v>
      </c>
      <c r="J63" s="80" t="str">
        <f t="shared" si="4"/>
        <v>USD_CURVE_3M_28Y</v>
      </c>
      <c r="K63" s="80" t="s">
        <v>151</v>
      </c>
      <c r="M63" s="52" t="str">
        <f>_xll.qlSwapIndex(,"NoFix",D63,2,Currency,Calendar,FixedLegTenor,FixedLegBDC,FixedLegDayCounter,IborIndex,DiscountingCurve,,Trigger)</f>
        <v>obj_00447#0000</v>
      </c>
    </row>
    <row r="64" spans="4:17" x14ac:dyDescent="0.2">
      <c r="D64" s="86" t="s">
        <v>91</v>
      </c>
      <c r="E64" s="77" t="s">
        <v>98</v>
      </c>
      <c r="F64" s="88">
        <f>_xll.qlInterestRateIndexFixingDate(IborIndex,EffectiveDate,Trigger)</f>
        <v>42255</v>
      </c>
      <c r="G64" s="88">
        <f>_xll.qlInterestRateIndexValueDate(M64,F64)</f>
        <v>42257</v>
      </c>
      <c r="H64" s="88">
        <f>_xll.qlInterestRateIndexMaturity(M64,G64)</f>
        <v>52852</v>
      </c>
      <c r="I64" s="80">
        <f>_xll.qlIndexFixing(M64,F64,TRUE,AllTriggers)</f>
        <v>2.6735719450607494E-2</v>
      </c>
      <c r="J64" s="80" t="str">
        <f t="shared" si="4"/>
        <v>USD_CURVE_3M_29Y</v>
      </c>
      <c r="K64" s="80" t="s">
        <v>152</v>
      </c>
      <c r="M64" s="52" t="str">
        <f>_xll.qlSwapIndex(,"NoFix",D64,2,Currency,Calendar,FixedLegTenor,FixedLegBDC,FixedLegDayCounter,IborIndex,DiscountingCurve,,Trigger)</f>
        <v>obj_00458#0000</v>
      </c>
    </row>
    <row r="65" spans="4:13" x14ac:dyDescent="0.2">
      <c r="D65" s="86" t="s">
        <v>92</v>
      </c>
      <c r="E65" s="77" t="s">
        <v>98</v>
      </c>
      <c r="F65" s="88">
        <f>_xll.qlInterestRateIndexFixingDate(IborIndex,EffectiveDate,Trigger)</f>
        <v>42255</v>
      </c>
      <c r="G65" s="88">
        <f>_xll.qlInterestRateIndexValueDate(M65,F65)</f>
        <v>42257</v>
      </c>
      <c r="H65" s="88">
        <f>_xll.qlInterestRateIndexMaturity(M65,G65)</f>
        <v>53216</v>
      </c>
      <c r="I65" s="80">
        <f>_xll.qlIndexFixing(M65,F65,TRUE,AllTriggers)</f>
        <v>2.6790000000009022E-2</v>
      </c>
      <c r="J65" s="80" t="str">
        <f t="shared" si="4"/>
        <v>USD_CURVE_3M_30Y</v>
      </c>
      <c r="K65" s="80" t="s">
        <v>153</v>
      </c>
      <c r="M65" s="52" t="str">
        <f>_xll.qlSwapIndex(,"NoFix",D65,2,Currency,Calendar,FixedLegTenor,FixedLegBDC,FixedLegDayCounter,IborIndex,DiscountingCurve,,Trigger)</f>
        <v>obj_00414#0000</v>
      </c>
    </row>
    <row r="66" spans="4:13" x14ac:dyDescent="0.2">
      <c r="D66" s="86" t="s">
        <v>93</v>
      </c>
      <c r="E66" s="77" t="s">
        <v>98</v>
      </c>
      <c r="F66" s="88">
        <f>_xll.qlInterestRateIndexFixingDate(IborIndex,EffectiveDate,Trigger)</f>
        <v>42255</v>
      </c>
      <c r="G66" s="88">
        <f>_xll.qlInterestRateIndexValueDate(M66,F66)</f>
        <v>42257</v>
      </c>
      <c r="H66" s="88">
        <f>_xll.qlInterestRateIndexMaturity(M66,G66)</f>
        <v>56867</v>
      </c>
      <c r="I66" s="80">
        <f>_xll.qlIndexFixing(M66,F66,TRUE,AllTriggers)</f>
        <v>2.6980000000036409E-2</v>
      </c>
      <c r="J66" s="80" t="str">
        <f t="shared" si="4"/>
        <v>USD_CURVE_3M_40Y</v>
      </c>
      <c r="K66" s="80" t="s">
        <v>154</v>
      </c>
      <c r="M66" s="52" t="str">
        <f>_xll.qlSwapIndex(,"NoFix",D66,2,Currency,Calendar,FixedLegTenor,FixedLegBDC,FixedLegDayCounter,IborIndex,DiscountingCurve,,Trigger)</f>
        <v>obj_00451#0000</v>
      </c>
    </row>
    <row r="67" spans="4:13" x14ac:dyDescent="0.2">
      <c r="D67" s="86" t="s">
        <v>94</v>
      </c>
      <c r="E67" s="77" t="s">
        <v>98</v>
      </c>
      <c r="F67" s="88">
        <f>_xll.qlInterestRateIndexFixingDate(IborIndex,EffectiveDate,Trigger)</f>
        <v>42255</v>
      </c>
      <c r="G67" s="88">
        <f>_xll.qlInterestRateIndexValueDate(M67,F67)</f>
        <v>42257</v>
      </c>
      <c r="H67" s="88">
        <f>_xll.qlInterestRateIndexMaturity(M67,G67)</f>
        <v>60520</v>
      </c>
      <c r="I67" s="80">
        <f>_xll.qlIndexFixing(M67,F67,TRUE,AllTriggers)</f>
        <v>2.6819999999998814E-2</v>
      </c>
      <c r="J67" s="80" t="str">
        <f t="shared" si="4"/>
        <v>USD_CURVE_3M_50Y</v>
      </c>
      <c r="K67" s="80" t="s">
        <v>155</v>
      </c>
      <c r="M67" s="52" t="str">
        <f>_xll.qlSwapIndex(,"NoFix",D67,2,Currency,Calendar,FixedLegTenor,FixedLegBDC,FixedLegDayCounter,IborIndex,DiscountingCurve,,Trigger)</f>
        <v>obj_003fe#0000</v>
      </c>
    </row>
    <row r="68" spans="4:13" x14ac:dyDescent="0.2">
      <c r="D68" s="89" t="s">
        <v>95</v>
      </c>
      <c r="E68" s="78" t="s">
        <v>98</v>
      </c>
      <c r="F68" s="92">
        <f>_xll.qlInterestRateIndexFixingDate(IborIndex,EffectiveDate,Trigger)</f>
        <v>42255</v>
      </c>
      <c r="G68" s="92">
        <f>_xll.qlInterestRateIndexValueDate(M68,F68)</f>
        <v>42257</v>
      </c>
      <c r="H68" s="92">
        <f>_xll.qlInterestRateIndexMaturity(M68,G68)</f>
        <v>64172</v>
      </c>
      <c r="I68" s="93">
        <f>_xll.qlIndexFixing(M68,F68,TRUE,AllTriggers)</f>
        <v>2.6671849136606491E-2</v>
      </c>
      <c r="J68" s="93" t="str">
        <f t="shared" si="4"/>
        <v>USD_CURVE_3M_60Y</v>
      </c>
      <c r="K68" s="93" t="s">
        <v>156</v>
      </c>
      <c r="M68" s="58" t="str">
        <f>_xll.qlSwapIndex(,"NoFix",D68,2,Currency,Calendar,FixedLegTenor,FixedLegBDC,FixedLegDayCounter,IborIndex,DiscountingCurve,,Trigger)</f>
        <v>obj_00452#0000</v>
      </c>
    </row>
  </sheetData>
  <dataValidations disablePrompts="1" count="2">
    <dataValidation type="list" allowBlank="1" showInputMessage="1" showErrorMessage="1" sqref="P33 P6">
      <formula1>"Following,Modified Following,Preceding,Modified Preceding,Unadjusted,Half-Month Modified Following"</formula1>
    </dataValidation>
    <dataValidation type="list" allowBlank="1" showInputMessage="1" showErrorMessage="1" sqref="Q33 Q6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J68"/>
  <sheetViews>
    <sheetView showGridLines="0" workbookViewId="0"/>
  </sheetViews>
  <sheetFormatPr defaultColWidth="2.85546875" defaultRowHeight="11.25" outlineLevelCol="1" x14ac:dyDescent="0.2"/>
  <cols>
    <col min="1" max="1" width="2.7109375" style="4" customWidth="1"/>
    <col min="2" max="2" width="12" style="4" hidden="1" customWidth="1" outlineLevel="1"/>
    <col min="3" max="3" width="17.28515625" style="4" hidden="1" customWidth="1" outlineLevel="1"/>
    <col min="4" max="4" width="10" style="3" bestFit="1" customWidth="1" collapsed="1"/>
    <col min="5" max="5" width="15.140625" style="4" bestFit="1" customWidth="1"/>
    <col min="6" max="8" width="17.28515625" style="4" customWidth="1"/>
    <col min="9" max="9" width="8" style="5" bestFit="1" customWidth="1"/>
    <col min="10" max="10" width="26.5703125" style="4" bestFit="1" customWidth="1"/>
    <col min="11" max="11" width="26.5703125" style="4" customWidth="1"/>
    <col min="12" max="12" width="2.7109375" style="4" hidden="1" customWidth="1" outlineLevel="1"/>
    <col min="13" max="13" width="15.140625" style="4" hidden="1" customWidth="1" outlineLevel="1"/>
    <col min="14" max="14" width="2.7109375" style="4" hidden="1" customWidth="1" outlineLevel="1"/>
    <col min="15" max="15" width="14.140625" style="4" hidden="1" customWidth="1" outlineLevel="1"/>
    <col min="16" max="17" width="19.28515625" style="2" hidden="1" customWidth="1" outlineLevel="1"/>
    <col min="18" max="18" width="2.7109375" style="2" customWidth="1" collapsed="1"/>
    <col min="19" max="83" width="27.28515625" style="2" customWidth="1"/>
    <col min="84" max="16384" width="2.85546875" style="2"/>
  </cols>
  <sheetData>
    <row r="1" spans="1:30" s="1" customFormat="1" x14ac:dyDescent="0.2">
      <c r="A1" s="37"/>
      <c r="B1" s="37"/>
      <c r="C1" s="37"/>
      <c r="D1" s="34"/>
      <c r="E1" s="35" t="s">
        <v>52</v>
      </c>
      <c r="F1" s="36" t="s">
        <v>13</v>
      </c>
      <c r="G1" s="37"/>
      <c r="H1" s="37"/>
      <c r="I1" s="29"/>
      <c r="J1" s="37"/>
      <c r="K1" s="37"/>
      <c r="L1" s="37"/>
      <c r="M1" s="4"/>
      <c r="N1" s="37"/>
      <c r="O1" s="37"/>
      <c r="P1" s="37"/>
      <c r="Q1" s="37"/>
      <c r="R1" s="37"/>
      <c r="S1" s="23"/>
      <c r="T1" s="2"/>
      <c r="U1" s="2"/>
      <c r="V1" s="2"/>
      <c r="W1" s="2"/>
      <c r="X1" s="2"/>
      <c r="Y1" s="2"/>
      <c r="Z1" s="2"/>
      <c r="AA1" s="20"/>
      <c r="AB1" s="6"/>
      <c r="AC1" s="6"/>
      <c r="AD1" s="6"/>
    </row>
    <row r="2" spans="1:30" s="1" customFormat="1" x14ac:dyDescent="0.2">
      <c r="A2" s="4"/>
      <c r="B2" s="4"/>
      <c r="C2" s="4"/>
      <c r="D2" s="3"/>
      <c r="E2" s="35" t="s">
        <v>53</v>
      </c>
      <c r="F2" s="36" t="str">
        <f>Currency&amp;CurveTenor</f>
        <v>USD6M</v>
      </c>
      <c r="G2" s="37"/>
      <c r="H2" s="37"/>
      <c r="I2" s="29"/>
      <c r="J2" s="37"/>
      <c r="K2" s="37"/>
      <c r="L2" s="4"/>
      <c r="M2" s="4"/>
      <c r="N2" s="4"/>
      <c r="O2" s="37"/>
      <c r="P2" s="37"/>
      <c r="Q2" s="37"/>
      <c r="R2" s="37"/>
      <c r="S2" s="23"/>
      <c r="T2" s="2"/>
      <c r="U2" s="2"/>
      <c r="V2" s="2"/>
      <c r="W2" s="2"/>
      <c r="X2" s="2"/>
      <c r="Y2" s="2"/>
      <c r="Z2" s="2"/>
      <c r="AA2" s="20"/>
      <c r="AB2" s="6"/>
      <c r="AC2" s="6"/>
      <c r="AD2" s="6"/>
    </row>
    <row r="3" spans="1:30" s="1" customFormat="1" x14ac:dyDescent="0.2">
      <c r="A3" s="4"/>
      <c r="B3" s="4"/>
      <c r="C3" s="4"/>
      <c r="D3" s="3"/>
      <c r="E3" s="35" t="s">
        <v>31</v>
      </c>
      <c r="F3" s="16" t="str">
        <f>IborIndexFamily&amp;CurveTenor</f>
        <v>UsdLibor6M</v>
      </c>
      <c r="G3" s="37"/>
      <c r="H3" s="37"/>
      <c r="I3" s="29"/>
      <c r="J3" s="37"/>
      <c r="K3" s="37"/>
      <c r="L3" s="4"/>
      <c r="M3" s="4"/>
      <c r="N3" s="37"/>
      <c r="O3" s="37"/>
      <c r="P3" s="37"/>
      <c r="Q3" s="37"/>
      <c r="R3" s="37"/>
      <c r="S3" s="23"/>
      <c r="T3" s="2"/>
      <c r="U3" s="2"/>
      <c r="V3" s="2"/>
      <c r="W3" s="2"/>
      <c r="X3" s="2"/>
      <c r="Y3" s="2"/>
      <c r="Z3" s="2"/>
      <c r="AA3" s="20"/>
      <c r="AB3" s="6"/>
      <c r="AC3" s="6"/>
      <c r="AD3" s="6"/>
    </row>
    <row r="4" spans="1:30" s="1" customFormat="1" x14ac:dyDescent="0.2">
      <c r="A4" s="37"/>
      <c r="B4" s="37"/>
      <c r="C4" s="37"/>
      <c r="D4" s="34"/>
      <c r="E4" s="37"/>
      <c r="F4" s="37"/>
      <c r="G4" s="37"/>
      <c r="H4" s="37"/>
      <c r="I4" s="29"/>
      <c r="J4" s="37"/>
      <c r="K4" s="37"/>
      <c r="L4" s="37"/>
      <c r="M4" s="4"/>
      <c r="N4" s="37"/>
      <c r="O4" s="37"/>
      <c r="P4" s="37"/>
      <c r="Q4" s="37"/>
      <c r="R4" s="37"/>
      <c r="S4" s="23"/>
      <c r="T4" s="2"/>
      <c r="U4" s="2"/>
      <c r="V4" s="2"/>
      <c r="W4" s="2"/>
      <c r="X4" s="2"/>
      <c r="Y4" s="2"/>
      <c r="Z4" s="2"/>
      <c r="AA4" s="20"/>
      <c r="AB4" s="6"/>
      <c r="AC4" s="6"/>
      <c r="AD4" s="6"/>
    </row>
    <row r="5" spans="1:30" s="1" customFormat="1" x14ac:dyDescent="0.2">
      <c r="A5" s="23"/>
      <c r="B5" s="23"/>
      <c r="C5" s="23"/>
      <c r="D5" s="10"/>
      <c r="E5" s="10" t="s">
        <v>37</v>
      </c>
      <c r="F5" s="10" t="s">
        <v>42</v>
      </c>
      <c r="G5" s="10" t="s">
        <v>49</v>
      </c>
      <c r="H5" s="10" t="s">
        <v>35</v>
      </c>
      <c r="I5" s="11" t="s">
        <v>34</v>
      </c>
      <c r="J5" s="11" t="s">
        <v>50</v>
      </c>
      <c r="K5" s="11" t="s">
        <v>51</v>
      </c>
      <c r="L5" s="23"/>
      <c r="M5" s="35" t="s">
        <v>64</v>
      </c>
      <c r="N5" s="37"/>
      <c r="O5" s="35" t="s">
        <v>63</v>
      </c>
      <c r="P5" s="35" t="s">
        <v>60</v>
      </c>
      <c r="Q5" s="35" t="s">
        <v>61</v>
      </c>
      <c r="R5" s="23"/>
      <c r="S5" s="23"/>
      <c r="T5" s="2"/>
      <c r="U5" s="2"/>
      <c r="V5" s="2"/>
      <c r="W5" s="2"/>
      <c r="X5" s="2"/>
      <c r="Y5" s="2"/>
      <c r="Z5" s="2"/>
      <c r="AA5" s="20"/>
      <c r="AB5" s="6"/>
      <c r="AC5" s="6"/>
      <c r="AD5" s="6"/>
    </row>
    <row r="6" spans="1:30" s="1" customFormat="1" x14ac:dyDescent="0.2">
      <c r="A6" s="23"/>
      <c r="B6" s="23"/>
      <c r="C6" s="23"/>
      <c r="D6" s="45"/>
      <c r="E6" s="62"/>
      <c r="F6" s="26"/>
      <c r="G6" s="26"/>
      <c r="H6" s="26"/>
      <c r="I6" s="60"/>
      <c r="J6" s="60"/>
      <c r="K6" s="60"/>
      <c r="L6" s="23"/>
      <c r="M6" s="111"/>
      <c r="N6" s="37"/>
      <c r="O6" s="36" t="b">
        <v>1</v>
      </c>
      <c r="P6" s="36" t="s">
        <v>100</v>
      </c>
      <c r="Q6" s="36" t="s">
        <v>99</v>
      </c>
      <c r="R6" s="23"/>
      <c r="S6" s="23"/>
      <c r="T6" s="2"/>
      <c r="U6" s="2"/>
      <c r="V6" s="2"/>
      <c r="W6" s="2"/>
      <c r="X6" s="2"/>
      <c r="Y6" s="2"/>
      <c r="Z6" s="2"/>
      <c r="AA6" s="20"/>
      <c r="AB6" s="6"/>
      <c r="AC6" s="6"/>
      <c r="AD6" s="6"/>
    </row>
    <row r="7" spans="1:30" s="1" customFormat="1" x14ac:dyDescent="0.2">
      <c r="A7" s="23"/>
      <c r="B7" s="23"/>
      <c r="C7" s="23"/>
      <c r="D7" s="46"/>
      <c r="E7" s="53"/>
      <c r="F7" s="27"/>
      <c r="G7" s="27"/>
      <c r="H7" s="27"/>
      <c r="I7" s="21"/>
      <c r="J7" s="21"/>
      <c r="K7" s="21"/>
      <c r="L7" s="23"/>
      <c r="M7" s="81"/>
      <c r="N7" s="37"/>
      <c r="O7" s="4"/>
      <c r="P7" s="2"/>
      <c r="Q7" s="2"/>
      <c r="R7" s="23"/>
      <c r="S7" s="23"/>
      <c r="T7" s="2"/>
      <c r="U7" s="2"/>
      <c r="V7" s="2"/>
      <c r="W7" s="2"/>
      <c r="X7" s="2"/>
      <c r="Y7" s="2"/>
      <c r="Z7" s="2"/>
      <c r="AA7" s="20"/>
      <c r="AB7" s="6"/>
      <c r="AC7" s="6"/>
      <c r="AD7" s="6"/>
    </row>
    <row r="8" spans="1:30" s="1" customFormat="1" x14ac:dyDescent="0.2">
      <c r="A8" s="23"/>
      <c r="B8" s="23"/>
      <c r="C8" s="23"/>
      <c r="D8" s="46"/>
      <c r="E8" s="53"/>
      <c r="F8" s="27"/>
      <c r="G8" s="27"/>
      <c r="H8" s="27"/>
      <c r="I8" s="21"/>
      <c r="J8" s="21"/>
      <c r="K8" s="21"/>
      <c r="L8" s="23"/>
      <c r="M8" s="14"/>
      <c r="N8" s="34"/>
      <c r="O8" s="4"/>
      <c r="P8" s="2"/>
      <c r="Q8" s="2"/>
      <c r="R8" s="23"/>
      <c r="S8" s="23"/>
      <c r="T8" s="2"/>
      <c r="U8" s="2"/>
      <c r="V8" s="2"/>
      <c r="W8" s="2"/>
      <c r="X8" s="2"/>
      <c r="Y8" s="2"/>
      <c r="Z8" s="2"/>
      <c r="AA8" s="20"/>
      <c r="AB8" s="6"/>
      <c r="AC8" s="6"/>
      <c r="AD8" s="6"/>
    </row>
    <row r="9" spans="1:30" s="1" customFormat="1" x14ac:dyDescent="0.2">
      <c r="A9" s="23"/>
      <c r="B9" s="23"/>
      <c r="C9" s="23"/>
      <c r="D9" s="46" t="s">
        <v>98</v>
      </c>
      <c r="E9" s="53" t="s">
        <v>101</v>
      </c>
      <c r="F9" s="27">
        <f>_xll.qlInterestRateIndexFixingDate(IborIndex,EffectiveDate,Trigger)</f>
        <v>42255</v>
      </c>
      <c r="G9" s="27">
        <f>_xll.qlInterestRateIndexValueDate(M9,F9)</f>
        <v>42257</v>
      </c>
      <c r="H9" s="27">
        <f>_xll.qlInterestRateIndexMaturity(M9,G9)</f>
        <v>42264</v>
      </c>
      <c r="I9" s="21">
        <f>_xll.qlIndexFixing(M9,F9,TRUE,AllTriggers)</f>
        <v>5.2087701821688726E-3</v>
      </c>
      <c r="J9" s="21" t="str">
        <f>Currency&amp;"_CURVE_DEP"&amp;CurveTenor&amp;"_"&amp;"1W"</f>
        <v>USD_CURVE_DEP6M_1W</v>
      </c>
      <c r="K9" s="21"/>
      <c r="L9" s="23"/>
      <c r="M9" s="14" t="str">
        <f>_xll.qlLibor(,Currency,D9,YieldCurve,,Trigger)</f>
        <v>obj_0039e#0000</v>
      </c>
      <c r="N9" s="34"/>
      <c r="O9" s="37"/>
      <c r="P9" s="37"/>
      <c r="Q9" s="37"/>
      <c r="R9" s="23"/>
      <c r="S9" s="23"/>
      <c r="T9" s="2"/>
      <c r="U9" s="2"/>
      <c r="V9" s="2"/>
      <c r="W9" s="2"/>
      <c r="X9" s="2"/>
      <c r="Y9" s="2"/>
      <c r="Z9" s="2"/>
      <c r="AA9" s="20"/>
      <c r="AB9" s="6"/>
      <c r="AC9" s="6"/>
      <c r="AD9" s="6"/>
    </row>
    <row r="10" spans="1:30" s="1" customFormat="1" x14ac:dyDescent="0.2">
      <c r="A10" s="23"/>
      <c r="B10" s="23"/>
      <c r="C10" s="23"/>
      <c r="D10" s="46" t="s">
        <v>15</v>
      </c>
      <c r="E10" s="53" t="s">
        <v>101</v>
      </c>
      <c r="F10" s="27">
        <f>_xll.qlInterestRateIndexFixingDate(IborIndex,EffectiveDate,Trigger)</f>
        <v>42255</v>
      </c>
      <c r="G10" s="27">
        <f>_xll.qlInterestRateIndexValueDate(M10,F10)</f>
        <v>42257</v>
      </c>
      <c r="H10" s="27">
        <f>_xll.qlInterestRateIndexMaturity(M10,G10)</f>
        <v>42271</v>
      </c>
      <c r="I10" s="21">
        <f>_xll.qlIndexFixing(M10,F10,TRUE,AllTriggers)</f>
        <v>5.2041235205876491E-3</v>
      </c>
      <c r="J10" s="21" t="str">
        <f t="shared" ref="J10:J20" si="0">Currency&amp;"_CURVE_DEP"&amp;CurveTenor&amp;"_"&amp;D10</f>
        <v>USD_CURVE_DEP6M_2W</v>
      </c>
      <c r="K10" s="21"/>
      <c r="L10" s="23"/>
      <c r="M10" s="14" t="str">
        <f>_xll.qlLibor(,Currency,D10,YieldCurve,,Trigger)</f>
        <v>obj_00397#0000</v>
      </c>
      <c r="N10" s="34"/>
      <c r="O10" s="37"/>
      <c r="P10" s="37"/>
      <c r="Q10" s="37"/>
      <c r="R10" s="23"/>
      <c r="S10" s="23"/>
      <c r="T10" s="2"/>
      <c r="U10" s="2"/>
      <c r="V10" s="2"/>
      <c r="W10" s="2"/>
      <c r="X10" s="2"/>
      <c r="Y10" s="2"/>
      <c r="Z10" s="2"/>
      <c r="AA10" s="20"/>
      <c r="AB10" s="6"/>
      <c r="AC10" s="6"/>
      <c r="AD10" s="6"/>
    </row>
    <row r="11" spans="1:30" s="1" customFormat="1" x14ac:dyDescent="0.2">
      <c r="A11" s="23"/>
      <c r="B11" s="23"/>
      <c r="C11" s="23"/>
      <c r="D11" s="46" t="s">
        <v>71</v>
      </c>
      <c r="E11" s="53" t="s">
        <v>101</v>
      </c>
      <c r="F11" s="27">
        <f>_xll.qlInterestRateIndexFixingDate(IborIndex,EffectiveDate,Trigger)</f>
        <v>42255</v>
      </c>
      <c r="G11" s="27">
        <f>_xll.qlInterestRateIndexValueDate(M11,F11)</f>
        <v>42257</v>
      </c>
      <c r="H11" s="27">
        <f>_xll.qlInterestRateIndexMaturity(M11,G11)</f>
        <v>42278</v>
      </c>
      <c r="I11" s="21">
        <f>_xll.qlIndexFixing(M11,F11,TRUE,AllTriggers)</f>
        <v>5.1962019290106654E-3</v>
      </c>
      <c r="J11" s="21" t="str">
        <f t="shared" si="0"/>
        <v>USD_CURVE_DEP6M_3W</v>
      </c>
      <c r="K11" s="21"/>
      <c r="L11" s="23"/>
      <c r="M11" s="14" t="str">
        <f>_xll.qlLibor(,Currency,D11,YieldCurve,,Trigger)</f>
        <v>obj_0039c#0000</v>
      </c>
      <c r="N11" s="23"/>
      <c r="O11" s="37"/>
      <c r="P11" s="37"/>
      <c r="Q11" s="37"/>
      <c r="R11" s="23"/>
      <c r="S11" s="23"/>
      <c r="T11" s="2"/>
      <c r="U11" s="2"/>
      <c r="V11" s="2"/>
      <c r="W11" s="2"/>
      <c r="X11" s="2"/>
      <c r="Y11" s="2"/>
      <c r="Z11" s="2"/>
      <c r="AA11" s="20"/>
      <c r="AB11" s="6"/>
      <c r="AC11" s="6"/>
      <c r="AD11" s="6"/>
    </row>
    <row r="12" spans="1:30" s="1" customFormat="1" x14ac:dyDescent="0.2">
      <c r="A12" s="23"/>
      <c r="B12" s="23"/>
      <c r="C12" s="23"/>
      <c r="D12" s="46" t="s">
        <v>16</v>
      </c>
      <c r="E12" s="53" t="s">
        <v>101</v>
      </c>
      <c r="F12" s="27">
        <f>_xll.qlInterestRateIndexFixingDate(IborIndex,EffectiveDate,Trigger)</f>
        <v>42255</v>
      </c>
      <c r="G12" s="27">
        <f>_xll.qlInterestRateIndexValueDate(M12,F12)</f>
        <v>42257</v>
      </c>
      <c r="H12" s="27">
        <f>_xll.qlInterestRateIndexMaturity(M12,G12)</f>
        <v>42290</v>
      </c>
      <c r="I12" s="21">
        <f>_xll.qlIndexFixing(M12,F12,TRUE,AllTriggers)</f>
        <v>5.1750000000002931E-3</v>
      </c>
      <c r="J12" s="21" t="str">
        <f t="shared" si="0"/>
        <v>USD_CURVE_DEP6M_1M</v>
      </c>
      <c r="K12" s="21"/>
      <c r="L12" s="23"/>
      <c r="M12" s="14" t="str">
        <f>_xll.qlLibor(,Currency,D12,YieldCurve,,Trigger)</f>
        <v>obj_003a0#0000</v>
      </c>
      <c r="N12" s="23"/>
      <c r="O12" s="37"/>
      <c r="P12" s="37"/>
      <c r="Q12" s="37"/>
      <c r="R12" s="23"/>
      <c r="S12" s="23"/>
      <c r="T12" s="2"/>
      <c r="U12" s="2"/>
      <c r="V12" s="2"/>
      <c r="W12" s="2"/>
      <c r="X12" s="2"/>
      <c r="Y12" s="2"/>
      <c r="Z12" s="2"/>
      <c r="AA12" s="20"/>
      <c r="AB12" s="6"/>
      <c r="AC12" s="6"/>
      <c r="AD12" s="6"/>
    </row>
    <row r="13" spans="1:30" s="1" customFormat="1" x14ac:dyDescent="0.2">
      <c r="A13" s="23"/>
      <c r="B13" s="23"/>
      <c r="C13" s="23"/>
      <c r="D13" s="46" t="s">
        <v>17</v>
      </c>
      <c r="E13" s="13" t="s">
        <v>101</v>
      </c>
      <c r="F13" s="27">
        <f>_xll.qlInterestRateIndexFixingDate(IborIndex,EffectiveDate,Trigger)</f>
        <v>42255</v>
      </c>
      <c r="G13" s="27">
        <f>_xll.qlInterestRateIndexValueDate(M13,F13)</f>
        <v>42257</v>
      </c>
      <c r="H13" s="27">
        <f>_xll.qlInterestRateIndexMaturity(M13,G13)</f>
        <v>42318</v>
      </c>
      <c r="I13" s="21">
        <f>_xll.qlIndexFixing(M13,F13,TRUE,AllTriggers)</f>
        <v>5.1060000000010958E-3</v>
      </c>
      <c r="J13" s="21" t="str">
        <f t="shared" si="0"/>
        <v>USD_CURVE_DEP6M_2M</v>
      </c>
      <c r="K13" s="21"/>
      <c r="L13" s="23"/>
      <c r="M13" s="14" t="str">
        <f>_xll.qlLibor(,Currency,D13,YieldCurve,,Trigger)</f>
        <v>obj_0039b#0000</v>
      </c>
      <c r="N13" s="23"/>
      <c r="O13" s="37"/>
      <c r="P13" s="37"/>
      <c r="Q13" s="37"/>
      <c r="R13" s="23"/>
      <c r="S13" s="23"/>
      <c r="T13" s="2"/>
      <c r="U13" s="2"/>
      <c r="V13" s="2"/>
      <c r="W13" s="2"/>
      <c r="X13" s="2"/>
      <c r="Y13" s="2"/>
      <c r="Z13" s="2"/>
      <c r="AA13" s="20"/>
      <c r="AB13" s="6"/>
      <c r="AC13" s="6"/>
      <c r="AD13" s="6"/>
    </row>
    <row r="14" spans="1:30" s="1" customFormat="1" x14ac:dyDescent="0.2">
      <c r="A14" s="23"/>
      <c r="B14" s="23"/>
      <c r="C14" s="23"/>
      <c r="D14" s="46" t="s">
        <v>18</v>
      </c>
      <c r="E14" s="13" t="s">
        <v>101</v>
      </c>
      <c r="F14" s="27">
        <f>_xll.qlInterestRateIndexFixingDate(IborIndex,EffectiveDate,Trigger)</f>
        <v>42255</v>
      </c>
      <c r="G14" s="27">
        <f>_xll.qlInterestRateIndexValueDate(M14,F14)</f>
        <v>42257</v>
      </c>
      <c r="H14" s="27">
        <f>_xll.qlInterestRateIndexMaturity(M14,G14)</f>
        <v>42348</v>
      </c>
      <c r="I14" s="21">
        <f>_xll.qlIndexFixing(M14,F14,TRUE,AllTriggers)</f>
        <v>5.082000000000063E-3</v>
      </c>
      <c r="J14" s="21" t="str">
        <f t="shared" si="0"/>
        <v>USD_CURVE_DEP6M_3M</v>
      </c>
      <c r="K14" s="21"/>
      <c r="L14" s="23"/>
      <c r="M14" s="14" t="str">
        <f>_xll.qlLibor(,Currency,D14,YieldCurve,,Trigger)</f>
        <v>obj_00398#0000</v>
      </c>
      <c r="N14" s="23"/>
      <c r="O14" s="37"/>
      <c r="P14" s="34"/>
      <c r="Q14" s="37"/>
      <c r="R14" s="23"/>
      <c r="S14" s="23"/>
      <c r="T14" s="2"/>
      <c r="U14" s="2"/>
      <c r="V14" s="2"/>
      <c r="W14" s="2"/>
      <c r="X14" s="2"/>
      <c r="Y14" s="2"/>
      <c r="Z14" s="2"/>
      <c r="AA14" s="20"/>
      <c r="AB14" s="6"/>
      <c r="AC14" s="6"/>
      <c r="AD14" s="6"/>
    </row>
    <row r="15" spans="1:30" s="1" customFormat="1" x14ac:dyDescent="0.2">
      <c r="A15" s="23"/>
      <c r="B15" s="23"/>
      <c r="C15" s="23"/>
      <c r="D15" s="46" t="s">
        <v>19</v>
      </c>
      <c r="E15" s="13" t="s">
        <v>101</v>
      </c>
      <c r="F15" s="27">
        <f>_xll.qlInterestRateIndexFixingDate(IborIndex,EffectiveDate,Trigger)</f>
        <v>42255</v>
      </c>
      <c r="G15" s="27">
        <f>_xll.qlInterestRateIndexValueDate(M15,F15)</f>
        <v>42257</v>
      </c>
      <c r="H15" s="27">
        <f>_xll.qlInterestRateIndexMaturity(M15,G15)</f>
        <v>42380</v>
      </c>
      <c r="I15" s="21">
        <f>_xll.qlIndexFixing(M15,F15,TRUE,AllTriggers)</f>
        <v>5.1850000000004497E-3</v>
      </c>
      <c r="J15" s="21" t="str">
        <f t="shared" si="0"/>
        <v>USD_CURVE_DEP6M_4M</v>
      </c>
      <c r="K15" s="21"/>
      <c r="L15" s="23"/>
      <c r="M15" s="14" t="str">
        <f>_xll.qlLibor(,Currency,D15,YieldCurve,,Trigger)</f>
        <v>obj_00396#0000</v>
      </c>
      <c r="N15" s="23"/>
      <c r="O15" s="37"/>
      <c r="P15" s="34"/>
      <c r="Q15" s="37"/>
      <c r="R15" s="23"/>
      <c r="S15" s="23"/>
      <c r="T15" s="2"/>
      <c r="U15" s="2"/>
      <c r="V15" s="2"/>
      <c r="W15" s="2"/>
      <c r="X15" s="2"/>
      <c r="Y15" s="2"/>
      <c r="Z15" s="2"/>
      <c r="AA15" s="20"/>
      <c r="AB15" s="6"/>
      <c r="AC15" s="6"/>
      <c r="AD15" s="6"/>
    </row>
    <row r="16" spans="1:30" s="1" customFormat="1" x14ac:dyDescent="0.2">
      <c r="A16" s="23"/>
      <c r="B16" s="23"/>
      <c r="C16" s="23"/>
      <c r="D16" s="46" t="s">
        <v>20</v>
      </c>
      <c r="E16" s="13" t="s">
        <v>101</v>
      </c>
      <c r="F16" s="27">
        <f>_xll.qlInterestRateIndexFixingDate(IborIndex,EffectiveDate,Trigger)</f>
        <v>42255</v>
      </c>
      <c r="G16" s="27">
        <f>_xll.qlInterestRateIndexValueDate(M16,F16)</f>
        <v>42257</v>
      </c>
      <c r="H16" s="27">
        <f>_xll.qlInterestRateIndexMaturity(M16,G16)</f>
        <v>42410</v>
      </c>
      <c r="I16" s="21">
        <f>_xll.qlIndexFixing(M16,F16,TRUE,AllTriggers)</f>
        <v>5.2739999999996878E-3</v>
      </c>
      <c r="J16" s="21" t="str">
        <f t="shared" si="0"/>
        <v>USD_CURVE_DEP6M_5M</v>
      </c>
      <c r="K16" s="21"/>
      <c r="L16" s="23"/>
      <c r="M16" s="14" t="str">
        <f>_xll.qlLibor(,Currency,D16,YieldCurve,,Trigger)</f>
        <v>obj_00394#0000</v>
      </c>
      <c r="N16" s="23"/>
      <c r="O16" s="37"/>
      <c r="P16" s="34"/>
      <c r="Q16" s="37"/>
      <c r="R16" s="23"/>
      <c r="S16" s="23"/>
      <c r="T16" s="2"/>
      <c r="U16" s="2"/>
      <c r="V16" s="2"/>
      <c r="W16" s="2"/>
      <c r="X16" s="2"/>
      <c r="Y16" s="2"/>
      <c r="Z16" s="2"/>
      <c r="AA16" s="20"/>
      <c r="AB16" s="6"/>
      <c r="AC16" s="6"/>
      <c r="AD16" s="6"/>
    </row>
    <row r="17" spans="1:30" s="1" customFormat="1" x14ac:dyDescent="0.2">
      <c r="A17" s="23"/>
      <c r="B17" s="23"/>
      <c r="C17" s="23"/>
      <c r="D17" s="46" t="s">
        <v>13</v>
      </c>
      <c r="E17" s="13" t="s">
        <v>101</v>
      </c>
      <c r="F17" s="27">
        <f>_xll.qlInterestRateIndexFixingDate(IborIndex,EffectiveDate,Trigger)</f>
        <v>42255</v>
      </c>
      <c r="G17" s="27">
        <f>_xll.qlInterestRateIndexValueDate(M17,F17)</f>
        <v>42257</v>
      </c>
      <c r="H17" s="27">
        <f>_xll.qlInterestRateIndexMaturity(M17,G17)</f>
        <v>42439</v>
      </c>
      <c r="I17" s="21">
        <f>_xll.qlIndexFixing(M17,F17,TRUE,AllTriggers)</f>
        <v>5.3799999999999334E-3</v>
      </c>
      <c r="J17" s="21" t="str">
        <f t="shared" si="0"/>
        <v>USD_CURVE_DEP6M_6M</v>
      </c>
      <c r="K17" s="21"/>
      <c r="L17" s="23"/>
      <c r="M17" s="14" t="str">
        <f>_xll.qlLibor(,Currency,D17,YieldCurve,,Trigger)</f>
        <v>obj_003a5#0000</v>
      </c>
      <c r="N17" s="34"/>
      <c r="O17" s="37"/>
      <c r="P17" s="34"/>
      <c r="Q17" s="37"/>
      <c r="R17" s="23"/>
      <c r="S17" s="23"/>
      <c r="T17" s="2"/>
      <c r="U17" s="2"/>
      <c r="V17" s="2"/>
      <c r="W17" s="2"/>
      <c r="X17" s="2"/>
      <c r="Y17" s="2"/>
      <c r="Z17" s="2"/>
      <c r="AA17" s="20"/>
      <c r="AB17" s="6"/>
      <c r="AC17" s="6"/>
      <c r="AD17" s="6"/>
    </row>
    <row r="18" spans="1:30" s="1" customFormat="1" x14ac:dyDescent="0.2">
      <c r="A18" s="23"/>
      <c r="B18" s="23"/>
      <c r="C18" s="23"/>
      <c r="D18" s="46" t="s">
        <v>65</v>
      </c>
      <c r="E18" s="13" t="s">
        <v>101</v>
      </c>
      <c r="F18" s="27">
        <f>_xll.qlInterestRateIndexFixingDate(IborIndex,EffectiveDate,Trigger)</f>
        <v>42255</v>
      </c>
      <c r="G18" s="27">
        <f>_xll.qlInterestRateIndexValueDate(M18,F18)</f>
        <v>42257</v>
      </c>
      <c r="H18" s="27">
        <f>_xll.qlInterestRateIndexMaturity(M18,G18)</f>
        <v>42471</v>
      </c>
      <c r="I18" s="21">
        <f>_xll.qlIndexFixing(M18,F18,TRUE,AllTriggers)</f>
        <v>5.5804662765090163E-3</v>
      </c>
      <c r="J18" s="21" t="str">
        <f t="shared" si="0"/>
        <v>USD_CURVE_DEP6M_7M</v>
      </c>
      <c r="K18" s="21"/>
      <c r="L18" s="23"/>
      <c r="M18" s="14" t="str">
        <f>_xll.qlLibor(,Currency,D18,YieldCurve,,Trigger)</f>
        <v>obj_0039f#0000</v>
      </c>
      <c r="N18" s="34"/>
      <c r="O18" s="37"/>
      <c r="P18" s="34"/>
      <c r="Q18" s="37"/>
      <c r="R18" s="23"/>
      <c r="S18" s="23"/>
      <c r="T18" s="2"/>
      <c r="U18" s="2"/>
      <c r="V18" s="2"/>
      <c r="W18" s="2"/>
      <c r="X18" s="2"/>
      <c r="Y18" s="2"/>
      <c r="Z18" s="2"/>
      <c r="AA18" s="20"/>
      <c r="AB18" s="6"/>
      <c r="AC18" s="6"/>
      <c r="AD18" s="6"/>
    </row>
    <row r="19" spans="1:30" s="1" customFormat="1" x14ac:dyDescent="0.2">
      <c r="A19" s="23"/>
      <c r="B19" s="23"/>
      <c r="C19" s="23"/>
      <c r="D19" s="46" t="s">
        <v>66</v>
      </c>
      <c r="E19" s="13" t="s">
        <v>101</v>
      </c>
      <c r="F19" s="27">
        <f>_xll.qlInterestRateIndexFixingDate(IborIndex,EffectiveDate,Trigger)</f>
        <v>42255</v>
      </c>
      <c r="G19" s="27">
        <f>_xll.qlInterestRateIndexValueDate(M19,F19)</f>
        <v>42257</v>
      </c>
      <c r="H19" s="27">
        <f>_xll.qlInterestRateIndexMaturity(M19,G19)</f>
        <v>42500</v>
      </c>
      <c r="I19" s="21">
        <f>_xll.qlIndexFixing(M19,F19,TRUE,AllTriggers)</f>
        <v>5.8169491908141475E-3</v>
      </c>
      <c r="J19" s="21" t="str">
        <f t="shared" si="0"/>
        <v>USD_CURVE_DEP6M_8M</v>
      </c>
      <c r="K19" s="21"/>
      <c r="L19" s="23"/>
      <c r="M19" s="14" t="str">
        <f>_xll.qlLibor(,Currency,D19,YieldCurve,,Trigger)</f>
        <v>obj_003a3#0000</v>
      </c>
      <c r="N19" s="34"/>
      <c r="O19" s="37"/>
      <c r="P19" s="34"/>
      <c r="Q19" s="37"/>
      <c r="R19" s="23"/>
      <c r="S19" s="23"/>
      <c r="T19" s="2"/>
      <c r="U19" s="2"/>
      <c r="V19" s="2"/>
      <c r="W19" s="2"/>
      <c r="X19" s="2"/>
      <c r="Y19" s="2"/>
      <c r="Z19" s="2"/>
      <c r="AA19" s="20"/>
      <c r="AB19" s="6"/>
      <c r="AC19" s="6"/>
      <c r="AD19" s="6"/>
    </row>
    <row r="20" spans="1:30" s="1" customFormat="1" x14ac:dyDescent="0.2">
      <c r="A20" s="23"/>
      <c r="B20" s="23"/>
      <c r="C20" s="23"/>
      <c r="D20" s="46" t="s">
        <v>21</v>
      </c>
      <c r="E20" s="13" t="s">
        <v>101</v>
      </c>
      <c r="F20" s="27">
        <f>_xll.qlInterestRateIndexFixingDate(IborIndex,EffectiveDate,Trigger)</f>
        <v>42255</v>
      </c>
      <c r="G20" s="27">
        <f>_xll.qlInterestRateIndexValueDate(M20,F20)</f>
        <v>42257</v>
      </c>
      <c r="H20" s="27">
        <f>_xll.qlInterestRateIndexMaturity(M20,G20)</f>
        <v>42531</v>
      </c>
      <c r="I20" s="21">
        <f>_xll.qlIndexFixing(M20,F20,TRUE,AllTriggers)</f>
        <v>5.9945107534068853E-3</v>
      </c>
      <c r="J20" s="21" t="str">
        <f t="shared" si="0"/>
        <v>USD_CURVE_DEP6M_9M</v>
      </c>
      <c r="K20" s="21"/>
      <c r="L20" s="51"/>
      <c r="M20" s="14" t="str">
        <f>_xll.qlLibor(,Currency,D20,YieldCurve,,Trigger)</f>
        <v>obj_003a9#0000</v>
      </c>
      <c r="N20" s="34"/>
      <c r="O20" s="37"/>
      <c r="P20" s="34"/>
      <c r="Q20" s="37"/>
      <c r="R20" s="23"/>
      <c r="S20" s="23"/>
      <c r="T20" s="2"/>
      <c r="U20" s="2"/>
      <c r="V20" s="2"/>
      <c r="W20" s="2"/>
      <c r="X20" s="2"/>
      <c r="Y20" s="2"/>
      <c r="Z20" s="2"/>
      <c r="AA20" s="20"/>
      <c r="AB20" s="6"/>
      <c r="AC20" s="6"/>
      <c r="AD20" s="6"/>
    </row>
    <row r="21" spans="1:30" s="1" customFormat="1" x14ac:dyDescent="0.2">
      <c r="A21" s="23"/>
      <c r="B21" s="23"/>
      <c r="C21" s="23"/>
      <c r="D21" s="102"/>
      <c r="E21" s="103"/>
      <c r="F21" s="103"/>
      <c r="G21" s="103"/>
      <c r="H21" s="103"/>
      <c r="I21" s="108"/>
      <c r="J21" s="103"/>
      <c r="K21" s="103"/>
      <c r="L21" s="51"/>
      <c r="M21" s="14"/>
      <c r="N21" s="34"/>
      <c r="O21" s="37"/>
      <c r="P21" s="34"/>
      <c r="Q21" s="37"/>
      <c r="R21" s="23"/>
      <c r="S21" s="23"/>
      <c r="T21" s="2"/>
      <c r="U21" s="2"/>
      <c r="V21" s="2"/>
      <c r="W21" s="2"/>
      <c r="X21" s="2"/>
      <c r="Y21" s="2"/>
      <c r="Z21" s="2"/>
      <c r="AA21" s="20"/>
      <c r="AB21" s="6"/>
      <c r="AC21" s="6"/>
      <c r="AD21" s="6"/>
    </row>
    <row r="22" spans="1:30" s="1" customFormat="1" x14ac:dyDescent="0.2">
      <c r="A22" s="23"/>
      <c r="B22" s="23"/>
      <c r="C22" s="23"/>
      <c r="D22" s="102"/>
      <c r="E22" s="103"/>
      <c r="F22" s="103"/>
      <c r="G22" s="103"/>
      <c r="H22" s="103"/>
      <c r="I22" s="108"/>
      <c r="J22" s="103"/>
      <c r="K22" s="103"/>
      <c r="L22" s="51"/>
      <c r="M22" s="14"/>
      <c r="N22" s="34"/>
      <c r="O22" s="34"/>
      <c r="P22" s="34"/>
      <c r="Q22" s="34"/>
      <c r="R22" s="23"/>
      <c r="S22" s="23"/>
      <c r="T22" s="2"/>
      <c r="U22" s="2"/>
      <c r="V22" s="2"/>
      <c r="W22" s="2"/>
      <c r="X22" s="2"/>
      <c r="Y22" s="2"/>
      <c r="Z22" s="2"/>
      <c r="AA22" s="20"/>
      <c r="AB22" s="6"/>
      <c r="AC22" s="6"/>
      <c r="AD22" s="6"/>
    </row>
    <row r="23" spans="1:30" s="1" customFormat="1" x14ac:dyDescent="0.2">
      <c r="A23" s="23"/>
      <c r="B23" s="23"/>
      <c r="C23" s="23"/>
      <c r="D23" s="104"/>
      <c r="E23" s="105"/>
      <c r="F23" s="105"/>
      <c r="G23" s="105"/>
      <c r="H23" s="105"/>
      <c r="I23" s="109"/>
      <c r="J23" s="105"/>
      <c r="K23" s="105"/>
      <c r="L23" s="51"/>
      <c r="M23" s="16"/>
      <c r="N23" s="34"/>
      <c r="O23" s="34"/>
      <c r="P23" s="34"/>
      <c r="Q23" s="34"/>
      <c r="R23" s="23"/>
      <c r="S23" s="23"/>
      <c r="T23" s="2"/>
      <c r="U23" s="2"/>
      <c r="V23" s="2"/>
      <c r="W23" s="2"/>
      <c r="X23" s="2"/>
      <c r="Y23" s="2"/>
      <c r="Z23" s="2"/>
      <c r="AA23" s="20"/>
      <c r="AB23" s="6"/>
      <c r="AC23" s="6"/>
      <c r="AD23" s="6"/>
    </row>
    <row r="24" spans="1:30" s="1" customFormat="1" x14ac:dyDescent="0.2">
      <c r="A24" s="23"/>
      <c r="B24" s="23">
        <f>_xll.qlDayCounterYearFraction("actual/360",SettlementDate,C24,,,AllTriggers)</f>
        <v>0.52222222222222225</v>
      </c>
      <c r="C24" s="168">
        <f>_xll.qlIMMNextDate(_xll.qlIMMNextCode(_xll.qlIMMNextCode(EvaluationDate+FuturesRollDays)))</f>
        <v>42445</v>
      </c>
      <c r="D24" s="102" t="str">
        <f>"#"&amp;YEAR(C24)&amp;IF(LEN(MONTH(C24))=1,"0","")&amp;MONTH(C24)&amp;IF(LEN(DAY(C24))=1,"0","")&amp;DAY(C24)</f>
        <v>#20160316</v>
      </c>
      <c r="E24" s="13" t="s">
        <v>116</v>
      </c>
      <c r="F24" s="103"/>
      <c r="G24" s="103"/>
      <c r="H24" s="103"/>
      <c r="I24" s="21">
        <f>(_xll.qlYieldTSDiscount(YieldCurve,SettlementDate,,AllTriggers)/_xll.qlYieldTSDiscount(YieldCurve,C24,,AllTriggers)-1)/B24</f>
        <v>5.4096998968530523E-3</v>
      </c>
      <c r="J24" s="103" t="str">
        <f>Currency&amp;"_CURVE_DEP"&amp;CurveTenor&amp;"_"&amp;D24</f>
        <v>USD_CURVE_DEP6M_#20160316</v>
      </c>
      <c r="K24" s="103"/>
      <c r="L24" s="51"/>
      <c r="M24" s="35" t="s">
        <v>123</v>
      </c>
      <c r="N24" s="34"/>
      <c r="O24" s="34"/>
      <c r="P24" s="34"/>
      <c r="Q24" s="34"/>
      <c r="R24" s="23"/>
      <c r="S24" s="23"/>
      <c r="T24" s="2"/>
      <c r="U24" s="2"/>
      <c r="V24" s="2"/>
      <c r="W24" s="2"/>
      <c r="X24" s="2"/>
      <c r="Y24" s="2"/>
      <c r="Z24" s="2"/>
      <c r="AA24" s="20"/>
      <c r="AB24" s="6"/>
      <c r="AC24" s="6"/>
      <c r="AD24" s="6"/>
    </row>
    <row r="25" spans="1:30" s="1" customFormat="1" x14ac:dyDescent="0.2">
      <c r="A25" s="23"/>
      <c r="B25" s="23"/>
      <c r="C25" s="23" t="b">
        <v>1</v>
      </c>
      <c r="D25" s="45" t="str">
        <f t="array" ref="D25:D32">_xll.qlIMMNextCodes(EvaluationDate,C25:C32)</f>
        <v>U5</v>
      </c>
      <c r="E25" s="12" t="s">
        <v>105</v>
      </c>
      <c r="F25" s="26">
        <f>_xll.qlInterestRateIndexFixingDate(IborIndex,G25)</f>
        <v>42261</v>
      </c>
      <c r="G25" s="63">
        <f>_xll.qlIMMdate(D25)</f>
        <v>42263</v>
      </c>
      <c r="H25" s="26">
        <f>_xll.qlInterestRateIndexMaturity(IborIndex,G25)</f>
        <v>42445</v>
      </c>
      <c r="I25" s="161">
        <f>(1-_xll.qlIndexFixing($M$25,F25,TRUE,AllTriggers))*100</f>
        <v>99.491230408088768</v>
      </c>
      <c r="J25" s="22" t="str">
        <f t="shared" ref="J25:J32" si="1">Currency&amp;"_CURVE_"&amp;E25&amp;CurveTenor&amp;"_"&amp;D25</f>
        <v>USD_CURVE_FUT6M_U5</v>
      </c>
      <c r="K25" s="22"/>
      <c r="L25" s="51"/>
      <c r="M25" s="36" t="str">
        <f>_xll.qlLibor(,Currency,"3M",YieldCurve,,Trigger)</f>
        <v>obj_003a1#0000</v>
      </c>
      <c r="N25" s="34"/>
      <c r="O25" s="34"/>
      <c r="P25" s="34"/>
      <c r="Q25" s="34"/>
      <c r="R25" s="23"/>
      <c r="S25" s="23"/>
      <c r="T25" s="2"/>
      <c r="U25" s="2"/>
      <c r="V25" s="2"/>
      <c r="W25" s="2"/>
      <c r="X25" s="2"/>
      <c r="Y25" s="2"/>
      <c r="Z25" s="2"/>
      <c r="AA25" s="20"/>
      <c r="AB25" s="6"/>
      <c r="AC25" s="6"/>
      <c r="AD25" s="6"/>
    </row>
    <row r="26" spans="1:30" s="1" customFormat="1" x14ac:dyDescent="0.2">
      <c r="A26" s="23"/>
      <c r="B26" s="23"/>
      <c r="C26" s="23" t="b">
        <v>1</v>
      </c>
      <c r="D26" s="46" t="str">
        <v>Z5</v>
      </c>
      <c r="E26" s="13" t="s">
        <v>105</v>
      </c>
      <c r="F26" s="27">
        <f>_xll.qlInterestRateIndexFixingDate(IborIndex,G26)</f>
        <v>42352</v>
      </c>
      <c r="G26" s="54">
        <f>_xll.qlIMMdate(D26)</f>
        <v>42354</v>
      </c>
      <c r="H26" s="27">
        <f>_xll.qlInterestRateIndexMaturity(IborIndex,G26)</f>
        <v>42537</v>
      </c>
      <c r="I26" s="162">
        <f>(1-_xll.qlIndexFixing($M$25,F26,TRUE,AllTriggers))*100</f>
        <v>99.426339215906296</v>
      </c>
      <c r="J26" s="21" t="str">
        <f t="shared" si="1"/>
        <v>USD_CURVE_FUT6M_Z5</v>
      </c>
      <c r="K26" s="21"/>
      <c r="L26" s="51"/>
      <c r="M26" s="34"/>
      <c r="N26" s="34"/>
      <c r="O26" s="34"/>
      <c r="P26" s="34"/>
      <c r="Q26" s="34"/>
      <c r="R26" s="23"/>
      <c r="S26" s="23"/>
      <c r="T26" s="2"/>
      <c r="U26" s="2"/>
      <c r="V26" s="2"/>
      <c r="W26" s="2"/>
      <c r="X26" s="2"/>
      <c r="Y26" s="2"/>
      <c r="Z26" s="2"/>
      <c r="AA26" s="20"/>
      <c r="AB26" s="6"/>
      <c r="AC26" s="6"/>
      <c r="AD26" s="6"/>
    </row>
    <row r="27" spans="1:30" s="1" customFormat="1" x14ac:dyDescent="0.2">
      <c r="A27" s="23"/>
      <c r="B27" s="23"/>
      <c r="C27" s="23" t="b">
        <v>1</v>
      </c>
      <c r="D27" s="46" t="str">
        <v>H6</v>
      </c>
      <c r="E27" s="13" t="s">
        <v>105</v>
      </c>
      <c r="F27" s="54">
        <f>_xll.qlInterestRateIndexFixingDate(IborIndex,G27)</f>
        <v>42443</v>
      </c>
      <c r="G27" s="54">
        <f>_xll.qlIMMdate(D27)</f>
        <v>42445</v>
      </c>
      <c r="H27" s="54">
        <f>_xll.qlInterestRateIndexMaturity(IborIndex,G27)</f>
        <v>42629</v>
      </c>
      <c r="I27" s="162">
        <f>(1-_xll.qlIndexFixing($M$25,F27,TRUE,AllTriggers))*100</f>
        <v>99.272794380601951</v>
      </c>
      <c r="J27" s="21" t="str">
        <f t="shared" si="1"/>
        <v>USD_CURVE_FUT6M_H6</v>
      </c>
      <c r="K27" s="21"/>
      <c r="L27" s="51"/>
      <c r="M27" s="34"/>
      <c r="N27" s="34"/>
      <c r="O27" s="34"/>
      <c r="P27" s="34"/>
      <c r="Q27" s="34"/>
      <c r="R27" s="23"/>
      <c r="S27" s="23"/>
      <c r="T27" s="2"/>
      <c r="U27" s="2"/>
      <c r="V27" s="2"/>
      <c r="W27" s="2"/>
      <c r="X27" s="2"/>
      <c r="Y27" s="2"/>
      <c r="Z27" s="2"/>
      <c r="AA27" s="20"/>
      <c r="AB27" s="6"/>
      <c r="AC27" s="6"/>
      <c r="AD27" s="6"/>
    </row>
    <row r="28" spans="1:30" s="1" customFormat="1" x14ac:dyDescent="0.2">
      <c r="A28" s="23"/>
      <c r="B28" s="23"/>
      <c r="C28" s="23" t="b">
        <v>1</v>
      </c>
      <c r="D28" s="46" t="str">
        <v>M6</v>
      </c>
      <c r="E28" s="13" t="s">
        <v>105</v>
      </c>
      <c r="F28" s="54">
        <f>_xll.qlInterestRateIndexFixingDate(IborIndex,G28)</f>
        <v>42534</v>
      </c>
      <c r="G28" s="54">
        <f>_xll.qlIMMdate(D28)</f>
        <v>42536</v>
      </c>
      <c r="H28" s="54">
        <f>_xll.qlInterestRateIndexMaturity(IborIndex,G28)</f>
        <v>42719</v>
      </c>
      <c r="I28" s="162">
        <f>(1-_xll.qlIndexFixing($M$25,F28,TRUE,AllTriggers))*100</f>
        <v>99.174806437843941</v>
      </c>
      <c r="J28" s="21" t="str">
        <f t="shared" si="1"/>
        <v>USD_CURVE_FUT6M_M6</v>
      </c>
      <c r="K28" s="21"/>
      <c r="L28" s="51"/>
      <c r="M28" s="34"/>
      <c r="N28" s="34"/>
      <c r="O28" s="34"/>
      <c r="P28" s="34"/>
      <c r="Q28" s="34"/>
      <c r="R28" s="23"/>
      <c r="S28" s="23"/>
      <c r="T28" s="2"/>
      <c r="U28" s="2"/>
      <c r="V28" s="2"/>
      <c r="W28" s="2"/>
      <c r="X28" s="2"/>
      <c r="Y28" s="2"/>
      <c r="Z28" s="2"/>
      <c r="AA28" s="20"/>
      <c r="AB28" s="6"/>
      <c r="AC28" s="6"/>
      <c r="AD28" s="6"/>
    </row>
    <row r="29" spans="1:30" s="1" customFormat="1" x14ac:dyDescent="0.2">
      <c r="A29" s="23"/>
      <c r="B29" s="23"/>
      <c r="C29" s="23" t="b">
        <v>1</v>
      </c>
      <c r="D29" s="46" t="str">
        <v>U6</v>
      </c>
      <c r="E29" s="13" t="s">
        <v>105</v>
      </c>
      <c r="F29" s="54">
        <f>_xll.qlInterestRateIndexFixingDate(IborIndex,G29)</f>
        <v>42632</v>
      </c>
      <c r="G29" s="54">
        <f>_xll.qlIMMdate(D29)</f>
        <v>42634</v>
      </c>
      <c r="H29" s="54">
        <f>_xll.qlInterestRateIndexMaturity(IborIndex,G29)</f>
        <v>42815</v>
      </c>
      <c r="I29" s="163">
        <f>(1-_xll.qlIndexFixing($M$25,F29,TRUE,AllTriggers))*100</f>
        <v>98.964705341642954</v>
      </c>
      <c r="J29" s="21" t="str">
        <f t="shared" si="1"/>
        <v>USD_CURVE_FUT6M_U6</v>
      </c>
      <c r="K29" s="21"/>
      <c r="L29" s="51"/>
      <c r="M29" s="34"/>
      <c r="N29" s="34"/>
      <c r="O29" s="34"/>
      <c r="P29" s="34"/>
      <c r="Q29" s="34"/>
      <c r="R29" s="23"/>
      <c r="S29" s="23"/>
      <c r="T29" s="2"/>
      <c r="U29" s="2"/>
      <c r="V29" s="2"/>
      <c r="W29" s="2"/>
      <c r="X29" s="2"/>
      <c r="Y29" s="2"/>
      <c r="Z29" s="2"/>
      <c r="AA29" s="20"/>
      <c r="AB29" s="6"/>
      <c r="AC29" s="6"/>
      <c r="AD29" s="6"/>
    </row>
    <row r="30" spans="1:30" s="1" customFormat="1" x14ac:dyDescent="0.2">
      <c r="A30" s="23"/>
      <c r="B30" s="23"/>
      <c r="C30" s="23" t="b">
        <v>1</v>
      </c>
      <c r="D30" s="46" t="str">
        <v>Z6</v>
      </c>
      <c r="E30" s="13" t="s">
        <v>105</v>
      </c>
      <c r="F30" s="54">
        <f>_xll.qlInterestRateIndexFixingDate(IborIndex,G30)</f>
        <v>42723</v>
      </c>
      <c r="G30" s="54">
        <f>_xll.qlIMMdate(D30)</f>
        <v>42725</v>
      </c>
      <c r="H30" s="54">
        <f>_xll.qlInterestRateIndexMaturity(IborIndex,G30)</f>
        <v>42907</v>
      </c>
      <c r="I30" s="163">
        <f>(1-_xll.qlIndexFixing($M$25,F30,TRUE,AllTriggers))*100</f>
        <v>98.847654003924561</v>
      </c>
      <c r="J30" s="21" t="str">
        <f t="shared" si="1"/>
        <v>USD_CURVE_FUT6M_Z6</v>
      </c>
      <c r="K30" s="21"/>
      <c r="L30" s="51"/>
      <c r="M30" s="34"/>
      <c r="N30" s="34"/>
      <c r="O30" s="34"/>
      <c r="P30" s="34"/>
      <c r="Q30" s="34"/>
      <c r="R30" s="23"/>
      <c r="S30" s="23"/>
      <c r="T30" s="2"/>
      <c r="U30" s="2"/>
      <c r="V30" s="2"/>
      <c r="W30" s="2"/>
      <c r="X30" s="2"/>
      <c r="Y30" s="2"/>
      <c r="Z30" s="2"/>
      <c r="AA30" s="20"/>
      <c r="AB30" s="6"/>
      <c r="AC30" s="6"/>
      <c r="AD30" s="6"/>
    </row>
    <row r="31" spans="1:30" s="1" customFormat="1" x14ac:dyDescent="0.2">
      <c r="A31" s="23"/>
      <c r="B31" s="23"/>
      <c r="C31" s="23" t="b">
        <v>1</v>
      </c>
      <c r="D31" s="46" t="str">
        <v>H7</v>
      </c>
      <c r="E31" s="13" t="s">
        <v>105</v>
      </c>
      <c r="F31" s="54">
        <f>_xll.qlInterestRateIndexFixingDate(IborIndex,G31)</f>
        <v>42807</v>
      </c>
      <c r="G31" s="54">
        <f>_xll.qlIMMdate(D31)</f>
        <v>42809</v>
      </c>
      <c r="H31" s="54">
        <f>_xll.qlInterestRateIndexMaturity(IborIndex,G31)</f>
        <v>42993</v>
      </c>
      <c r="I31" s="162">
        <f>(1-_xll.qlIndexFixing($M$25,F31,TRUE,AllTriggers))*100</f>
        <v>98.633186194249546</v>
      </c>
      <c r="J31" s="21" t="str">
        <f t="shared" si="1"/>
        <v>USD_CURVE_FUT6M_H7</v>
      </c>
      <c r="K31" s="21"/>
      <c r="L31" s="23"/>
      <c r="M31" s="34"/>
      <c r="N31" s="34"/>
      <c r="O31" s="34"/>
      <c r="P31" s="34"/>
      <c r="Q31" s="34"/>
      <c r="R31" s="23"/>
      <c r="S31" s="23"/>
      <c r="T31" s="2"/>
      <c r="U31" s="2"/>
      <c r="V31" s="2"/>
      <c r="W31" s="2"/>
      <c r="X31" s="2"/>
      <c r="Y31" s="2"/>
      <c r="Z31" s="2"/>
      <c r="AA31" s="20"/>
      <c r="AB31" s="6"/>
      <c r="AC31" s="6"/>
      <c r="AD31" s="6"/>
    </row>
    <row r="32" spans="1:30" s="1" customFormat="1" x14ac:dyDescent="0.2">
      <c r="A32" s="23"/>
      <c r="B32" s="23"/>
      <c r="C32" s="23" t="b">
        <v>1</v>
      </c>
      <c r="D32" s="46" t="str">
        <v>M7</v>
      </c>
      <c r="E32" s="13" t="s">
        <v>105</v>
      </c>
      <c r="F32" s="54">
        <f>_xll.qlInterestRateIndexFixingDate(IborIndex,G32)</f>
        <v>42905</v>
      </c>
      <c r="G32" s="54">
        <f>_xll.qlIMMdate(D32)</f>
        <v>42907</v>
      </c>
      <c r="H32" s="54">
        <f>_xll.qlInterestRateIndexMaturity(IborIndex,G32)</f>
        <v>43090</v>
      </c>
      <c r="I32" s="162">
        <f>(1-_xll.qlIndexFixing($M$25,F32,TRUE,AllTriggers))*100</f>
        <v>98.512484287405243</v>
      </c>
      <c r="J32" s="21" t="str">
        <f t="shared" si="1"/>
        <v>USD_CURVE_FUT6M_M7</v>
      </c>
      <c r="K32" s="21"/>
      <c r="L32" s="23"/>
      <c r="M32" s="35" t="s">
        <v>36</v>
      </c>
      <c r="N32" s="34"/>
      <c r="O32" s="35" t="s">
        <v>32</v>
      </c>
      <c r="P32" s="35" t="s">
        <v>54</v>
      </c>
      <c r="Q32" s="35" t="s">
        <v>33</v>
      </c>
      <c r="R32" s="23"/>
      <c r="S32" s="23"/>
      <c r="T32" s="2"/>
      <c r="U32" s="2"/>
      <c r="V32" s="2"/>
      <c r="W32" s="2"/>
      <c r="X32" s="2"/>
      <c r="Y32" s="2"/>
      <c r="Z32" s="2"/>
      <c r="AA32" s="20"/>
      <c r="AB32" s="6"/>
      <c r="AC32" s="6"/>
      <c r="AD32" s="6"/>
    </row>
    <row r="33" spans="1:30" s="1" customFormat="1" x14ac:dyDescent="0.2">
      <c r="A33" s="4"/>
      <c r="B33" s="4"/>
      <c r="C33" s="4"/>
      <c r="D33" s="45" t="s">
        <v>22</v>
      </c>
      <c r="E33" s="12" t="s">
        <v>98</v>
      </c>
      <c r="F33" s="63">
        <f>_xll.qlInterestRateIndexFixingDate(IborIndex,EffectiveDate,Trigger)</f>
        <v>42255</v>
      </c>
      <c r="G33" s="26">
        <f>_xll.qlInterestRateIndexValueDate(M33,F33)</f>
        <v>42257</v>
      </c>
      <c r="H33" s="26">
        <f>_xll.qlInterestRateIndexMaturity(M33,G33)</f>
        <v>42625</v>
      </c>
      <c r="I33" s="22">
        <f>_xll.qlIndexFixing(M33,F33,,AllTriggers)</f>
        <v>6.5595748149738725E-3</v>
      </c>
      <c r="J33" s="85" t="str">
        <f t="shared" ref="J33:J61" si="2">Currency&amp;"_CURVE_"&amp;CurveTenor&amp;"_"&amp;D33</f>
        <v>USD_CURVE_6M_1Y</v>
      </c>
      <c r="K33" s="85" t="s">
        <v>190</v>
      </c>
      <c r="L33" s="23"/>
      <c r="M33" s="52" t="str">
        <f>_xll.qlSwapIndex(,"NoFix",D33,2,Currency,Calendar,FixedLegTenor,FixedLegBDC,FixedLegDayCounter,IborIndex,DiscountingCurve,,"trigger")</f>
        <v>obj_003e7#0000</v>
      </c>
      <c r="N33" s="34"/>
      <c r="O33" s="36" t="s">
        <v>22</v>
      </c>
      <c r="P33" s="36" t="s">
        <v>39</v>
      </c>
      <c r="Q33" s="36" t="s">
        <v>99</v>
      </c>
      <c r="R33" s="2"/>
      <c r="S33" s="2"/>
      <c r="T33" s="2"/>
      <c r="U33" s="2"/>
      <c r="V33" s="2"/>
      <c r="W33" s="2"/>
      <c r="X33" s="2"/>
      <c r="Y33" s="2"/>
      <c r="Z33" s="2"/>
      <c r="AA33" s="20"/>
      <c r="AB33" s="6"/>
      <c r="AC33" s="6"/>
      <c r="AD33" s="6"/>
    </row>
    <row r="34" spans="1:30" s="1" customFormat="1" x14ac:dyDescent="0.2">
      <c r="A34" s="4"/>
      <c r="B34" s="4"/>
      <c r="C34" s="4"/>
      <c r="D34" s="46"/>
      <c r="E34" s="13"/>
      <c r="F34" s="54"/>
      <c r="G34" s="27"/>
      <c r="H34" s="27"/>
      <c r="I34" s="21"/>
      <c r="J34" s="21"/>
      <c r="K34" s="21"/>
      <c r="L34" s="23"/>
      <c r="M34" s="52"/>
      <c r="N34" s="34"/>
      <c r="O34" s="37"/>
      <c r="P34" s="34"/>
      <c r="Q34" s="37"/>
      <c r="R34" s="2"/>
      <c r="S34" s="2"/>
      <c r="T34" s="2"/>
      <c r="U34" s="2"/>
      <c r="V34" s="2"/>
      <c r="W34" s="2"/>
      <c r="X34" s="2"/>
      <c r="Y34" s="2"/>
      <c r="Z34" s="2"/>
      <c r="AA34" s="20"/>
      <c r="AB34" s="6"/>
      <c r="AC34" s="6"/>
      <c r="AD34" s="6"/>
    </row>
    <row r="35" spans="1:30" s="1" customFormat="1" x14ac:dyDescent="0.2">
      <c r="A35" s="4"/>
      <c r="B35" s="4"/>
      <c r="C35" s="4"/>
      <c r="D35" s="46"/>
      <c r="E35" s="13"/>
      <c r="F35" s="54"/>
      <c r="G35" s="27"/>
      <c r="H35" s="27"/>
      <c r="I35" s="21"/>
      <c r="J35" s="21"/>
      <c r="K35" s="21"/>
      <c r="L35" s="23"/>
      <c r="M35" s="52"/>
      <c r="N35" s="34"/>
      <c r="O35" s="37"/>
      <c r="P35" s="34"/>
      <c r="Q35" s="37"/>
      <c r="R35" s="2"/>
      <c r="S35" s="2"/>
      <c r="T35" s="2"/>
      <c r="U35" s="2"/>
      <c r="V35" s="2"/>
      <c r="W35" s="2"/>
      <c r="X35" s="2"/>
      <c r="Y35" s="2"/>
      <c r="Z35" s="2"/>
      <c r="AA35" s="20"/>
      <c r="AB35" s="6"/>
      <c r="AC35" s="6"/>
      <c r="AD35" s="6"/>
    </row>
    <row r="36" spans="1:30" s="1" customFormat="1" x14ac:dyDescent="0.2">
      <c r="A36" s="4"/>
      <c r="B36" s="4"/>
      <c r="C36" s="4"/>
      <c r="D36" s="46"/>
      <c r="E36" s="13"/>
      <c r="F36" s="54"/>
      <c r="G36" s="27"/>
      <c r="H36" s="27"/>
      <c r="I36" s="21"/>
      <c r="J36" s="21"/>
      <c r="K36" s="21"/>
      <c r="L36" s="23"/>
      <c r="M36" s="52"/>
      <c r="N36" s="34"/>
      <c r="O36" s="37"/>
      <c r="P36" s="34"/>
      <c r="Q36" s="37"/>
      <c r="R36" s="2"/>
      <c r="S36" s="2"/>
      <c r="T36" s="2"/>
      <c r="U36" s="2"/>
      <c r="V36" s="2"/>
      <c r="W36" s="2"/>
      <c r="X36" s="2"/>
      <c r="Y36" s="2"/>
      <c r="Z36" s="2"/>
      <c r="AA36" s="20"/>
      <c r="AB36" s="6"/>
      <c r="AC36" s="6"/>
      <c r="AD36" s="6"/>
    </row>
    <row r="37" spans="1:30" s="1" customFormat="1" x14ac:dyDescent="0.2">
      <c r="A37" s="4"/>
      <c r="B37" s="4"/>
      <c r="C37" s="4"/>
      <c r="D37" s="46" t="s">
        <v>23</v>
      </c>
      <c r="E37" s="13" t="s">
        <v>98</v>
      </c>
      <c r="F37" s="54">
        <f>_xll.qlInterestRateIndexFixingDate(IborIndex,EffectiveDate,Trigger)</f>
        <v>42255</v>
      </c>
      <c r="G37" s="27">
        <f>_xll.qlInterestRateIndexValueDate(M37,F37)</f>
        <v>42257</v>
      </c>
      <c r="H37" s="27">
        <f>_xll.qlInterestRateIndexMaturity(M37,G37)</f>
        <v>42989</v>
      </c>
      <c r="I37" s="21">
        <f>_xll.qlIndexFixing(M37,F37,,AllTriggers)</f>
        <v>9.5168246595359017E-3</v>
      </c>
      <c r="J37" s="21" t="str">
        <f t="shared" si="2"/>
        <v>USD_CURVE_6M_2Y</v>
      </c>
      <c r="K37" s="21" t="s">
        <v>191</v>
      </c>
      <c r="L37" s="4"/>
      <c r="M37" s="103" t="str">
        <f>_xll.qlSwapIndex(,"NoFix",D37,2,Currency,Calendar,FixedLegTenor,FixedLegBDC,FixedLegDayCounter,IborIndex,DiscountingCurve,,"trigger")</f>
        <v>obj_003f7#0000</v>
      </c>
      <c r="N37" s="34"/>
      <c r="O37" s="37"/>
      <c r="P37" s="34"/>
      <c r="Q37" s="37"/>
      <c r="R37" s="2"/>
      <c r="S37" s="2"/>
      <c r="T37" s="2"/>
      <c r="U37" s="2"/>
      <c r="V37" s="2"/>
      <c r="W37" s="2"/>
      <c r="X37" s="2"/>
      <c r="Y37" s="2"/>
      <c r="Z37" s="2"/>
      <c r="AA37" s="20"/>
      <c r="AB37" s="6"/>
      <c r="AC37" s="6"/>
      <c r="AD37" s="6"/>
    </row>
    <row r="38" spans="1:30" s="1" customFormat="1" x14ac:dyDescent="0.2">
      <c r="A38" s="4"/>
      <c r="B38" s="4"/>
      <c r="C38" s="4"/>
      <c r="D38" s="46" t="s">
        <v>24</v>
      </c>
      <c r="E38" s="13" t="s">
        <v>98</v>
      </c>
      <c r="F38" s="54">
        <f>_xll.qlInterestRateIndexFixingDate(IborIndex,EffectiveDate,Trigger)</f>
        <v>42255</v>
      </c>
      <c r="G38" s="27">
        <f>_xll.qlInterestRateIndexValueDate(M38,F38)</f>
        <v>42257</v>
      </c>
      <c r="H38" s="27">
        <f>_xll.qlInterestRateIndexMaturity(M38,G38)</f>
        <v>43353</v>
      </c>
      <c r="I38" s="21">
        <f>_xll.qlIndexFixing(M38,F38,,AllTriggers)</f>
        <v>1.2143502385147843E-2</v>
      </c>
      <c r="J38" s="21" t="str">
        <f t="shared" si="2"/>
        <v>USD_CURVE_6M_3Y</v>
      </c>
      <c r="K38" s="21" t="s">
        <v>192</v>
      </c>
      <c r="L38" s="4"/>
      <c r="M38" s="103" t="str">
        <f>_xll.qlSwapIndex(,"NoFix",D38,2,Currency,Calendar,FixedLegTenor,FixedLegBDC,FixedLegDayCounter,IborIndex,DiscountingCurve,,"trigger")</f>
        <v>obj_00410#0000</v>
      </c>
      <c r="N38" s="34"/>
      <c r="O38" s="37"/>
      <c r="P38" s="34"/>
      <c r="Q38" s="37"/>
      <c r="R38" s="2"/>
      <c r="S38" s="2"/>
      <c r="T38" s="2"/>
      <c r="U38" s="2"/>
      <c r="V38" s="2"/>
      <c r="W38" s="2"/>
      <c r="X38" s="2"/>
      <c r="Y38" s="2"/>
      <c r="Z38" s="2"/>
      <c r="AA38" s="20"/>
      <c r="AB38" s="6"/>
      <c r="AC38" s="6"/>
      <c r="AD38" s="6"/>
    </row>
    <row r="39" spans="1:30" s="1" customFormat="1" x14ac:dyDescent="0.2">
      <c r="A39" s="4"/>
      <c r="B39" s="4"/>
      <c r="C39" s="4"/>
      <c r="D39" s="46" t="s">
        <v>25</v>
      </c>
      <c r="E39" s="13" t="s">
        <v>98</v>
      </c>
      <c r="F39" s="54">
        <f>_xll.qlInterestRateIndexFixingDate(IborIndex,EffectiveDate,Trigger)</f>
        <v>42255</v>
      </c>
      <c r="G39" s="27">
        <f>_xll.qlInterestRateIndexValueDate(M39,F39)</f>
        <v>42257</v>
      </c>
      <c r="H39" s="27">
        <f>_xll.qlInterestRateIndexMaturity(M39,G39)</f>
        <v>43718</v>
      </c>
      <c r="I39" s="21">
        <f>_xll.qlIndexFixing(M39,F39,,AllTriggers)</f>
        <v>1.4483972603759171E-2</v>
      </c>
      <c r="J39" s="21" t="str">
        <f t="shared" si="2"/>
        <v>USD_CURVE_6M_4Y</v>
      </c>
      <c r="K39" s="21" t="s">
        <v>193</v>
      </c>
      <c r="L39" s="4"/>
      <c r="M39" s="103" t="str">
        <f>_xll.qlSwapIndex(,"NoFix",D39,2,Currency,Calendar,FixedLegTenor,FixedLegBDC,FixedLegDayCounter,IborIndex,DiscountingCurve,,"trigger")</f>
        <v>obj_003fb#0000</v>
      </c>
      <c r="N39" s="34"/>
      <c r="O39" s="34"/>
      <c r="P39" s="34"/>
      <c r="Q39" s="34"/>
      <c r="R39" s="2"/>
      <c r="S39" s="2"/>
      <c r="T39" s="2"/>
      <c r="U39" s="2"/>
      <c r="V39" s="2"/>
      <c r="W39" s="2"/>
      <c r="X39" s="2"/>
      <c r="Y39" s="2"/>
      <c r="Z39" s="2"/>
      <c r="AA39" s="20"/>
      <c r="AB39" s="6"/>
      <c r="AC39" s="6"/>
      <c r="AD39" s="6"/>
    </row>
    <row r="40" spans="1:30" s="1" customFormat="1" x14ac:dyDescent="0.2">
      <c r="A40" s="4"/>
      <c r="B40" s="4"/>
      <c r="C40" s="4"/>
      <c r="D40" s="46" t="s">
        <v>26</v>
      </c>
      <c r="E40" s="13" t="s">
        <v>98</v>
      </c>
      <c r="F40" s="54">
        <f>_xll.qlInterestRateIndexFixingDate(IborIndex,EffectiveDate,Trigger)</f>
        <v>42255</v>
      </c>
      <c r="G40" s="27">
        <f>_xll.qlInterestRateIndexValueDate(M40,F40)</f>
        <v>42257</v>
      </c>
      <c r="H40" s="27">
        <f>_xll.qlInterestRateIndexMaturity(M40,G40)</f>
        <v>44084</v>
      </c>
      <c r="I40" s="21">
        <f>_xll.qlIndexFixing(M40,F40,,AllTriggers)</f>
        <v>1.6504326136123626E-2</v>
      </c>
      <c r="J40" s="21" t="str">
        <f t="shared" si="2"/>
        <v>USD_CURVE_6M_5Y</v>
      </c>
      <c r="K40" s="21" t="s">
        <v>194</v>
      </c>
      <c r="L40" s="4"/>
      <c r="M40" s="103" t="str">
        <f>_xll.qlSwapIndex(,"NoFix",D40,2,Currency,Calendar,FixedLegTenor,FixedLegBDC,FixedLegDayCounter,IborIndex,DiscountingCurve,,"trigger")</f>
        <v>obj_00430#0000</v>
      </c>
      <c r="N40" s="4"/>
      <c r="O40" s="4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0"/>
      <c r="AB40" s="6"/>
      <c r="AC40" s="6"/>
      <c r="AD40" s="6"/>
    </row>
    <row r="41" spans="1:30" s="1" customFormat="1" x14ac:dyDescent="0.2">
      <c r="A41" s="4"/>
      <c r="B41" s="4"/>
      <c r="C41" s="4"/>
      <c r="D41" s="46" t="s">
        <v>72</v>
      </c>
      <c r="E41" s="13" t="s">
        <v>98</v>
      </c>
      <c r="F41" s="54">
        <f>_xll.qlInterestRateIndexFixingDate(IborIndex,EffectiveDate,Trigger)</f>
        <v>42255</v>
      </c>
      <c r="G41" s="27">
        <f>_xll.qlInterestRateIndexValueDate(M41,F41)</f>
        <v>42257</v>
      </c>
      <c r="H41" s="27">
        <f>_xll.qlInterestRateIndexMaturity(M41,G41)</f>
        <v>44449</v>
      </c>
      <c r="I41" s="21">
        <f>_xll.qlIndexFixing(M41,F41,,AllTriggers)</f>
        <v>1.8274889139127073E-2</v>
      </c>
      <c r="J41" s="21" t="str">
        <f t="shared" si="2"/>
        <v>USD_CURVE_6M_6Y</v>
      </c>
      <c r="K41" s="21" t="s">
        <v>195</v>
      </c>
      <c r="L41" s="4"/>
      <c r="M41" s="103" t="str">
        <f>_xll.qlSwapIndex(,"NoFix",D41,2,Currency,Calendar,FixedLegTenor,FixedLegBDC,FixedLegDayCounter,IborIndex,DiscountingCurve,,"trigger")</f>
        <v>obj_0040c#0000</v>
      </c>
      <c r="N41" s="4"/>
      <c r="O41" s="4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0"/>
      <c r="AB41" s="6"/>
      <c r="AC41" s="6"/>
      <c r="AD41" s="6"/>
    </row>
    <row r="42" spans="1:30" s="1" customFormat="1" x14ac:dyDescent="0.2">
      <c r="A42" s="4"/>
      <c r="B42" s="4"/>
      <c r="C42" s="4"/>
      <c r="D42" s="46" t="s">
        <v>27</v>
      </c>
      <c r="E42" s="13" t="s">
        <v>98</v>
      </c>
      <c r="F42" s="54">
        <f>_xll.qlInterestRateIndexFixingDate(IborIndex,EffectiveDate,Trigger)</f>
        <v>42255</v>
      </c>
      <c r="G42" s="27">
        <f>_xll.qlInterestRateIndexValueDate(M42,F42)</f>
        <v>42257</v>
      </c>
      <c r="H42" s="27">
        <f>_xll.qlInterestRateIndexMaturity(M42,G42)</f>
        <v>44816</v>
      </c>
      <c r="I42" s="21">
        <f>_xll.qlIndexFixing(M42,F42,,AllTriggers)</f>
        <v>1.9765379727909937E-2</v>
      </c>
      <c r="J42" s="21" t="str">
        <f t="shared" si="2"/>
        <v>USD_CURVE_6M_7Y</v>
      </c>
      <c r="K42" s="21" t="s">
        <v>196</v>
      </c>
      <c r="L42" s="4"/>
      <c r="M42" s="103" t="str">
        <f>_xll.qlSwapIndex(,"NoFix",D42,2,Currency,Calendar,FixedLegTenor,FixedLegBDC,FixedLegDayCounter,IborIndex,DiscountingCurve,,"trigger")</f>
        <v>obj_0040f#0000</v>
      </c>
      <c r="N42" s="4"/>
      <c r="O42" s="4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0"/>
      <c r="AB42" s="6"/>
      <c r="AC42" s="6"/>
      <c r="AD42" s="6"/>
    </row>
    <row r="43" spans="1:30" s="1" customFormat="1" x14ac:dyDescent="0.2">
      <c r="A43" s="4"/>
      <c r="B43" s="4"/>
      <c r="C43" s="4"/>
      <c r="D43" s="46" t="s">
        <v>73</v>
      </c>
      <c r="E43" s="13" t="s">
        <v>98</v>
      </c>
      <c r="F43" s="54">
        <f>_xll.qlInterestRateIndexFixingDate(IborIndex,EffectiveDate,Trigger)</f>
        <v>42255</v>
      </c>
      <c r="G43" s="27">
        <f>_xll.qlInterestRateIndexValueDate(M43,F43)</f>
        <v>42257</v>
      </c>
      <c r="H43" s="27">
        <f>_xll.qlInterestRateIndexMaturity(M43,G43)</f>
        <v>45180</v>
      </c>
      <c r="I43" s="21">
        <f>_xll.qlIndexFixing(M43,F43,,AllTriggers)</f>
        <v>2.1005866391690865E-2</v>
      </c>
      <c r="J43" s="21" t="str">
        <f t="shared" si="2"/>
        <v>USD_CURVE_6M_8Y</v>
      </c>
      <c r="K43" s="21" t="s">
        <v>197</v>
      </c>
      <c r="L43" s="4"/>
      <c r="M43" s="103" t="str">
        <f>_xll.qlSwapIndex(,"NoFix",D43,2,Currency,Calendar,FixedLegTenor,FixedLegBDC,FixedLegDayCounter,IborIndex,DiscountingCurve,,"trigger")</f>
        <v>obj_00409#0000</v>
      </c>
      <c r="N43" s="4"/>
      <c r="O43" s="4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0"/>
      <c r="AB43" s="6"/>
      <c r="AC43" s="6"/>
      <c r="AD43" s="6"/>
    </row>
    <row r="44" spans="1:30" s="1" customFormat="1" x14ac:dyDescent="0.2">
      <c r="A44" s="4"/>
      <c r="B44" s="4"/>
      <c r="C44" s="4"/>
      <c r="D44" s="46" t="s">
        <v>74</v>
      </c>
      <c r="E44" s="13" t="s">
        <v>98</v>
      </c>
      <c r="F44" s="54">
        <f>_xll.qlInterestRateIndexFixingDate(IborIndex,EffectiveDate,Trigger)</f>
        <v>42255</v>
      </c>
      <c r="G44" s="27">
        <f>_xll.qlInterestRateIndexValueDate(M44,F44)</f>
        <v>42257</v>
      </c>
      <c r="H44" s="27">
        <f>_xll.qlInterestRateIndexMaturity(M44,G44)</f>
        <v>45545</v>
      </c>
      <c r="I44" s="21">
        <f>_xll.qlIndexFixing(M44,F44,,AllTriggers)</f>
        <v>2.2026329140696979E-2</v>
      </c>
      <c r="J44" s="21" t="str">
        <f t="shared" si="2"/>
        <v>USD_CURVE_6M_9Y</v>
      </c>
      <c r="K44" s="21" t="s">
        <v>198</v>
      </c>
      <c r="L44" s="4"/>
      <c r="M44" s="103" t="str">
        <f>_xll.qlSwapIndex(,"NoFix",D44,2,Currency,Calendar,FixedLegTenor,FixedLegBDC,FixedLegDayCounter,IborIndex,DiscountingCurve,,"trigger")</f>
        <v>obj_0040d#0000</v>
      </c>
      <c r="N44" s="4"/>
      <c r="O44" s="4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0"/>
      <c r="AB44" s="6"/>
      <c r="AC44" s="6"/>
      <c r="AD44" s="6"/>
    </row>
    <row r="45" spans="1:30" s="1" customFormat="1" x14ac:dyDescent="0.2">
      <c r="A45" s="4"/>
      <c r="B45" s="4"/>
      <c r="C45" s="4"/>
      <c r="D45" s="46" t="s">
        <v>28</v>
      </c>
      <c r="E45" s="13" t="s">
        <v>98</v>
      </c>
      <c r="F45" s="54">
        <f>_xll.qlInterestRateIndexFixingDate(IborIndex,EffectiveDate,Trigger)</f>
        <v>42255</v>
      </c>
      <c r="G45" s="27">
        <f>_xll.qlInterestRateIndexValueDate(M45,F45)</f>
        <v>42257</v>
      </c>
      <c r="H45" s="27">
        <f>_xll.qlInterestRateIndexMaturity(M45,G45)</f>
        <v>45910</v>
      </c>
      <c r="I45" s="21">
        <f>_xll.qlIndexFixing(M45,F45,,AllTriggers)</f>
        <v>2.2896892110819928E-2</v>
      </c>
      <c r="J45" s="21" t="str">
        <f t="shared" si="2"/>
        <v>USD_CURVE_6M_10Y</v>
      </c>
      <c r="K45" s="21" t="s">
        <v>199</v>
      </c>
      <c r="L45" s="4"/>
      <c r="M45" s="103" t="str">
        <f>_xll.qlSwapIndex(,"NoFix",D45,2,Currency,Calendar,FixedLegTenor,FixedLegBDC,FixedLegDayCounter,IborIndex,DiscountingCurve,,"trigger")</f>
        <v>obj_003d2#0000</v>
      </c>
      <c r="N45" s="4"/>
      <c r="O45" s="4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0"/>
      <c r="AB45" s="6"/>
      <c r="AC45" s="6"/>
      <c r="AD45" s="6"/>
    </row>
    <row r="46" spans="1:30" s="1" customFormat="1" x14ac:dyDescent="0.2">
      <c r="A46" s="4"/>
      <c r="B46" s="4"/>
      <c r="C46" s="4"/>
      <c r="D46" s="46" t="s">
        <v>75</v>
      </c>
      <c r="E46" s="13" t="s">
        <v>98</v>
      </c>
      <c r="F46" s="54">
        <f>_xll.qlInterestRateIndexFixingDate(IborIndex,EffectiveDate,Trigger)</f>
        <v>42255</v>
      </c>
      <c r="G46" s="27">
        <f>_xll.qlInterestRateIndexValueDate(M46,F46)</f>
        <v>42257</v>
      </c>
      <c r="H46" s="27">
        <f>_xll.qlInterestRateIndexMaturity(M46,G46)</f>
        <v>46275</v>
      </c>
      <c r="I46" s="21">
        <f>_xll.qlIndexFixing(M46,F46,,AllTriggers)</f>
        <v>2.3644469902858914E-2</v>
      </c>
      <c r="J46" s="21" t="str">
        <f t="shared" si="2"/>
        <v>USD_CURVE_6M_11Y</v>
      </c>
      <c r="K46" s="21" t="s">
        <v>200</v>
      </c>
      <c r="L46" s="37"/>
      <c r="M46" s="52" t="str">
        <f>_xll.qlSwapIndex(,"NoFix",D46,2,Currency,Calendar,FixedLegTenor,FixedLegBDC,FixedLegDayCounter,IborIndex,DiscountingCurve,,"trigger")</f>
        <v>obj_003f1#0000</v>
      </c>
      <c r="N46" s="4"/>
      <c r="O46" s="4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0"/>
      <c r="AB46" s="6"/>
      <c r="AC46" s="6"/>
      <c r="AD46" s="6"/>
    </row>
    <row r="47" spans="1:30" s="1" customFormat="1" x14ac:dyDescent="0.2">
      <c r="A47" s="4"/>
      <c r="B47" s="4"/>
      <c r="C47" s="4"/>
      <c r="D47" s="46" t="s">
        <v>29</v>
      </c>
      <c r="E47" s="13" t="s">
        <v>98</v>
      </c>
      <c r="F47" s="54">
        <f>_xll.qlInterestRateIndexFixingDate(IborIndex,EffectiveDate,Trigger)</f>
        <v>42255</v>
      </c>
      <c r="G47" s="27">
        <f>_xll.qlInterestRateIndexValueDate(M47,F47)</f>
        <v>42257</v>
      </c>
      <c r="H47" s="27">
        <f>_xll.qlInterestRateIndexMaturity(M47,G47)</f>
        <v>46640</v>
      </c>
      <c r="I47" s="21">
        <f>_xll.qlIndexFixing(M47,F47,,AllTriggers)</f>
        <v>2.4277714962700911E-2</v>
      </c>
      <c r="J47" s="21" t="str">
        <f t="shared" si="2"/>
        <v>USD_CURVE_6M_12Y</v>
      </c>
      <c r="K47" s="21" t="s">
        <v>201</v>
      </c>
      <c r="L47" s="37"/>
      <c r="M47" s="52" t="str">
        <f>_xll.qlSwapIndex(,"NoFix",D47,2,Currency,Calendar,FixedLegTenor,FixedLegBDC,FixedLegDayCounter,IborIndex,DiscountingCurve,,"trigger")</f>
        <v>obj_003d1#0000</v>
      </c>
      <c r="N47" s="4"/>
      <c r="O47" s="4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0"/>
      <c r="AB47" s="6"/>
      <c r="AC47" s="6"/>
      <c r="AD47" s="6"/>
    </row>
    <row r="48" spans="1:30" s="1" customFormat="1" x14ac:dyDescent="0.2">
      <c r="A48" s="4"/>
      <c r="B48" s="4"/>
      <c r="C48" s="4"/>
      <c r="D48" s="46" t="s">
        <v>76</v>
      </c>
      <c r="E48" s="13" t="s">
        <v>98</v>
      </c>
      <c r="F48" s="54">
        <f>_xll.qlInterestRateIndexFixingDate(IborIndex,EffectiveDate,Trigger)</f>
        <v>42255</v>
      </c>
      <c r="G48" s="27">
        <f>_xll.qlInterestRateIndexValueDate(M48,F48)</f>
        <v>42257</v>
      </c>
      <c r="H48" s="27">
        <f>_xll.qlInterestRateIndexMaturity(M48,G48)</f>
        <v>47007</v>
      </c>
      <c r="I48" s="21">
        <f>_xll.qlIndexFixing(M48,F48,,AllTriggers)</f>
        <v>2.4809347096117273E-2</v>
      </c>
      <c r="J48" s="21" t="str">
        <f t="shared" si="2"/>
        <v>USD_CURVE_6M_13Y</v>
      </c>
      <c r="K48" s="21" t="s">
        <v>202</v>
      </c>
      <c r="L48" s="4"/>
      <c r="M48" s="52" t="str">
        <f>_xll.qlSwapIndex(,"NoFix",D48,2,Currency,Calendar,FixedLegTenor,FixedLegBDC,FixedLegDayCounter,IborIndex,DiscountingCurve,,"trigger")</f>
        <v>obj_003f6#0000</v>
      </c>
      <c r="N48" s="4"/>
      <c r="O48" s="4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0"/>
      <c r="AB48" s="6"/>
      <c r="AC48" s="6"/>
      <c r="AD48" s="6"/>
    </row>
    <row r="49" spans="1:30" s="1" customFormat="1" x14ac:dyDescent="0.2">
      <c r="A49" s="4"/>
      <c r="B49" s="4"/>
      <c r="C49" s="4"/>
      <c r="D49" s="46" t="s">
        <v>77</v>
      </c>
      <c r="E49" s="13" t="s">
        <v>98</v>
      </c>
      <c r="F49" s="54">
        <f>_xll.qlInterestRateIndexFixingDate(IborIndex,EffectiveDate,Trigger)</f>
        <v>42255</v>
      </c>
      <c r="G49" s="27">
        <f>_xll.qlInterestRateIndexValueDate(M49,F49)</f>
        <v>42257</v>
      </c>
      <c r="H49" s="27">
        <f>_xll.qlInterestRateIndexMaturity(M49,G49)</f>
        <v>47371</v>
      </c>
      <c r="I49" s="21">
        <f>_xll.qlIndexFixing(M49,F49,,AllTriggers)</f>
        <v>2.5251898762230298E-2</v>
      </c>
      <c r="J49" s="21" t="str">
        <f t="shared" si="2"/>
        <v>USD_CURVE_6M_14Y</v>
      </c>
      <c r="K49" s="21" t="s">
        <v>203</v>
      </c>
      <c r="L49" s="4"/>
      <c r="M49" s="52" t="str">
        <f>_xll.qlSwapIndex(,"NoFix",D49,2,Currency,Calendar,FixedLegTenor,FixedLegBDC,FixedLegDayCounter,IborIndex,DiscountingCurve,,"trigger")</f>
        <v>obj_003e0#0000</v>
      </c>
      <c r="N49" s="4"/>
      <c r="O49" s="4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0"/>
      <c r="AB49" s="6"/>
      <c r="AC49" s="6"/>
      <c r="AD49" s="6"/>
    </row>
    <row r="50" spans="1:30" s="1" customFormat="1" x14ac:dyDescent="0.2">
      <c r="A50" s="4"/>
      <c r="B50" s="4"/>
      <c r="C50" s="4"/>
      <c r="D50" s="46" t="s">
        <v>30</v>
      </c>
      <c r="E50" s="13" t="s">
        <v>98</v>
      </c>
      <c r="F50" s="54">
        <f>_xll.qlInterestRateIndexFixingDate(IborIndex,EffectiveDate,Trigger)</f>
        <v>42255</v>
      </c>
      <c r="G50" s="27">
        <f>_xll.qlInterestRateIndexValueDate(M50,F50)</f>
        <v>42257</v>
      </c>
      <c r="H50" s="27">
        <f>_xll.qlInterestRateIndexMaturity(M50,G50)</f>
        <v>47736</v>
      </c>
      <c r="I50" s="21">
        <f>_xll.qlIndexFixing(M50,F50,,AllTriggers)</f>
        <v>2.5628503049778852E-2</v>
      </c>
      <c r="J50" s="21" t="str">
        <f t="shared" si="2"/>
        <v>USD_CURVE_6M_15Y</v>
      </c>
      <c r="K50" s="21" t="s">
        <v>204</v>
      </c>
      <c r="L50" s="4"/>
      <c r="M50" s="52" t="str">
        <f>_xll.qlSwapIndex(,"NoFix",D50,2,Currency,Calendar,FixedLegTenor,FixedLegBDC,FixedLegDayCounter,IborIndex,DiscountingCurve,,"trigger")</f>
        <v>obj_003d9#0000</v>
      </c>
      <c r="N50" s="4"/>
      <c r="O50" s="4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0"/>
      <c r="AB50" s="6"/>
      <c r="AC50" s="6"/>
      <c r="AD50" s="6"/>
    </row>
    <row r="51" spans="1:30" s="1" customFormat="1" x14ac:dyDescent="0.2">
      <c r="A51" s="4"/>
      <c r="B51" s="4"/>
      <c r="C51" s="4"/>
      <c r="D51" s="46" t="s">
        <v>78</v>
      </c>
      <c r="E51" s="13" t="s">
        <v>98</v>
      </c>
      <c r="F51" s="54">
        <f>_xll.qlInterestRateIndexFixingDate(IborIndex,EffectiveDate,Trigger)</f>
        <v>42255</v>
      </c>
      <c r="G51" s="27">
        <f>_xll.qlInterestRateIndexValueDate(M51,F51)</f>
        <v>42257</v>
      </c>
      <c r="H51" s="27">
        <f>_xll.qlInterestRateIndexMaturity(M51,G51)</f>
        <v>48101</v>
      </c>
      <c r="I51" s="21">
        <f>_xll.qlIndexFixing(M51,F51,,AllTriggers)</f>
        <v>2.5950580359742674E-2</v>
      </c>
      <c r="J51" s="21" t="str">
        <f t="shared" si="2"/>
        <v>USD_CURVE_6M_16Y</v>
      </c>
      <c r="K51" s="21" t="s">
        <v>205</v>
      </c>
      <c r="L51" s="4"/>
      <c r="M51" s="52" t="str">
        <f>_xll.qlSwapIndex(,"NoFix",D51,2,Currency,Calendar,FixedLegTenor,FixedLegBDC,FixedLegDayCounter,IborIndex,DiscountingCurve,,"trigger")</f>
        <v>obj_00455#0000</v>
      </c>
      <c r="N51" s="4"/>
      <c r="O51" s="4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0"/>
      <c r="AB51" s="6"/>
      <c r="AC51" s="6"/>
      <c r="AD51" s="6"/>
    </row>
    <row r="52" spans="1:30" s="1" customFormat="1" x14ac:dyDescent="0.2">
      <c r="A52" s="4"/>
      <c r="B52" s="4"/>
      <c r="C52" s="4"/>
      <c r="D52" s="46" t="s">
        <v>79</v>
      </c>
      <c r="E52" s="13" t="s">
        <v>98</v>
      </c>
      <c r="F52" s="54">
        <f>_xll.qlInterestRateIndexFixingDate(IborIndex,EffectiveDate,Trigger)</f>
        <v>42255</v>
      </c>
      <c r="G52" s="27">
        <f>_xll.qlInterestRateIndexValueDate(M52,F52)</f>
        <v>42257</v>
      </c>
      <c r="H52" s="27">
        <f>_xll.qlInterestRateIndexMaturity(M52,G52)</f>
        <v>48467</v>
      </c>
      <c r="I52" s="21">
        <f>_xll.qlIndexFixing(M52,F52,,AllTriggers)</f>
        <v>2.6228076357978417E-2</v>
      </c>
      <c r="J52" s="21" t="str">
        <f t="shared" si="2"/>
        <v>USD_CURVE_6M_17Y</v>
      </c>
      <c r="K52" s="21" t="s">
        <v>206</v>
      </c>
      <c r="L52" s="4"/>
      <c r="M52" s="52" t="str">
        <f>_xll.qlSwapIndex(,"NoFix",D52,2,Currency,Calendar,FixedLegTenor,FixedLegBDC,FixedLegDayCounter,IborIndex,DiscountingCurve,,"trigger")</f>
        <v>obj_003e1#0000</v>
      </c>
      <c r="N52" s="4"/>
      <c r="O52" s="4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0"/>
      <c r="AB52" s="6"/>
      <c r="AC52" s="6"/>
      <c r="AD52" s="6"/>
    </row>
    <row r="53" spans="1:30" s="1" customFormat="1" x14ac:dyDescent="0.2">
      <c r="A53" s="4"/>
      <c r="B53" s="4"/>
      <c r="C53" s="4"/>
      <c r="D53" s="46" t="s">
        <v>80</v>
      </c>
      <c r="E53" s="13" t="s">
        <v>98</v>
      </c>
      <c r="F53" s="54">
        <f>_xll.qlInterestRateIndexFixingDate(IborIndex,EffectiveDate,Trigger)</f>
        <v>42255</v>
      </c>
      <c r="G53" s="27">
        <f>_xll.qlInterestRateIndexValueDate(M53,F53)</f>
        <v>42257</v>
      </c>
      <c r="H53" s="27">
        <f>_xll.qlInterestRateIndexMaturity(M53,G53)</f>
        <v>48834</v>
      </c>
      <c r="I53" s="21">
        <f>_xll.qlIndexFixing(M53,F53,,AllTriggers)</f>
        <v>2.6467686684473322E-2</v>
      </c>
      <c r="J53" s="21" t="str">
        <f t="shared" si="2"/>
        <v>USD_CURVE_6M_18Y</v>
      </c>
      <c r="K53" s="21" t="s">
        <v>207</v>
      </c>
      <c r="L53" s="4"/>
      <c r="M53" s="52" t="str">
        <f>_xll.qlSwapIndex(,"NoFix",D53,2,Currency,Calendar,FixedLegTenor,FixedLegBDC,FixedLegDayCounter,IborIndex,DiscountingCurve,,"trigger")</f>
        <v>obj_0044f#0000</v>
      </c>
      <c r="N53" s="4"/>
      <c r="O53" s="4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0"/>
      <c r="AB53" s="6"/>
      <c r="AC53" s="6"/>
      <c r="AD53" s="6"/>
    </row>
    <row r="54" spans="1:30" s="1" customFormat="1" x14ac:dyDescent="0.2">
      <c r="A54" s="4"/>
      <c r="B54" s="4"/>
      <c r="C54" s="4"/>
      <c r="D54" s="46" t="s">
        <v>81</v>
      </c>
      <c r="E54" s="13" t="s">
        <v>98</v>
      </c>
      <c r="F54" s="54">
        <f>_xll.qlInterestRateIndexFixingDate(IborIndex,EffectiveDate,Trigger)</f>
        <v>42255</v>
      </c>
      <c r="G54" s="27">
        <f>_xll.qlInterestRateIndexValueDate(M54,F54)</f>
        <v>42257</v>
      </c>
      <c r="H54" s="27">
        <f>_xll.qlInterestRateIndexMaturity(M54,G54)</f>
        <v>49198</v>
      </c>
      <c r="I54" s="21">
        <f>_xll.qlIndexFixing(M54,F54,,AllTriggers)</f>
        <v>2.6672447893631174E-2</v>
      </c>
      <c r="J54" s="21" t="str">
        <f t="shared" si="2"/>
        <v>USD_CURVE_6M_19Y</v>
      </c>
      <c r="K54" s="21" t="s">
        <v>208</v>
      </c>
      <c r="L54" s="4"/>
      <c r="M54" s="52" t="str">
        <f>_xll.qlSwapIndex(,"NoFix",D54,2,Currency,Calendar,FixedLegTenor,FixedLegBDC,FixedLegDayCounter,IborIndex,DiscountingCurve,,"trigger")</f>
        <v>obj_00432#0000</v>
      </c>
      <c r="N54" s="4"/>
      <c r="O54" s="4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0"/>
      <c r="AB54" s="6"/>
      <c r="AC54" s="6"/>
      <c r="AD54" s="6"/>
    </row>
    <row r="55" spans="1:30" s="1" customFormat="1" x14ac:dyDescent="0.2">
      <c r="A55" s="4"/>
      <c r="B55" s="4"/>
      <c r="C55" s="4"/>
      <c r="D55" s="46" t="s">
        <v>82</v>
      </c>
      <c r="E55" s="13" t="s">
        <v>98</v>
      </c>
      <c r="F55" s="54">
        <f>_xll.qlInterestRateIndexFixingDate(IborIndex,EffectiveDate,Trigger)</f>
        <v>42255</v>
      </c>
      <c r="G55" s="27">
        <f>_xll.qlInterestRateIndexValueDate(M55,F55)</f>
        <v>42257</v>
      </c>
      <c r="H55" s="27">
        <f>_xll.qlInterestRateIndexMaturity(M55,G55)</f>
        <v>49562</v>
      </c>
      <c r="I55" s="21">
        <f>_xll.qlIndexFixing(M55,F55,,AllTriggers)</f>
        <v>2.6848992419665971E-2</v>
      </c>
      <c r="J55" s="21" t="str">
        <f t="shared" si="2"/>
        <v>USD_CURVE_6M_20Y</v>
      </c>
      <c r="K55" s="21" t="s">
        <v>209</v>
      </c>
      <c r="L55" s="4"/>
      <c r="M55" s="52" t="str">
        <f>_xll.qlSwapIndex(,"NoFix",D55,2,Currency,Calendar,FixedLegTenor,FixedLegBDC,FixedLegDayCounter,IborIndex,DiscountingCurve,,"trigger")</f>
        <v>obj_00437#0000</v>
      </c>
      <c r="N55" s="4"/>
      <c r="O55" s="4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0"/>
      <c r="AB55" s="6"/>
      <c r="AC55" s="6"/>
      <c r="AD55" s="6"/>
    </row>
    <row r="56" spans="1:30" s="1" customFormat="1" x14ac:dyDescent="0.2">
      <c r="A56" s="4"/>
      <c r="B56" s="4"/>
      <c r="C56" s="4"/>
      <c r="D56" s="46" t="s">
        <v>83</v>
      </c>
      <c r="E56" s="13" t="s">
        <v>98</v>
      </c>
      <c r="F56" s="54">
        <f>_xll.qlInterestRateIndexFixingDate(IborIndex,EffectiveDate,Trigger)</f>
        <v>42255</v>
      </c>
      <c r="G56" s="27">
        <f>_xll.qlInterestRateIndexValueDate(M56,F56)</f>
        <v>42257</v>
      </c>
      <c r="H56" s="27">
        <f>_xll.qlInterestRateIndexMaturity(M56,G56)</f>
        <v>49928</v>
      </c>
      <c r="I56" s="21">
        <f>_xll.qlIndexFixing(M56,F56,,AllTriggers)</f>
        <v>2.7002064410123035E-2</v>
      </c>
      <c r="J56" s="21" t="str">
        <f t="shared" si="2"/>
        <v>USD_CURVE_6M_21Y</v>
      </c>
      <c r="K56" s="21" t="s">
        <v>210</v>
      </c>
      <c r="L56" s="4"/>
      <c r="M56" s="52" t="str">
        <f>_xll.qlSwapIndex(,"NoFix",D56,2,Currency,Calendar,FixedLegTenor,FixedLegBDC,FixedLegDayCounter,IborIndex,DiscountingCurve,,"trigger")</f>
        <v>obj_003f0#0000</v>
      </c>
      <c r="N56" s="4"/>
      <c r="O56" s="4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0"/>
      <c r="AB56" s="6"/>
      <c r="AC56" s="6"/>
      <c r="AD56" s="6"/>
    </row>
    <row r="57" spans="1:30" s="1" customFormat="1" x14ac:dyDescent="0.2">
      <c r="A57" s="4"/>
      <c r="B57" s="4"/>
      <c r="C57" s="4"/>
      <c r="D57" s="46" t="s">
        <v>84</v>
      </c>
      <c r="E57" s="13" t="s">
        <v>98</v>
      </c>
      <c r="F57" s="54">
        <f>_xll.qlInterestRateIndexFixingDate(IborIndex,EffectiveDate,Trigger)</f>
        <v>42255</v>
      </c>
      <c r="G57" s="27">
        <f>_xll.qlInterestRateIndexValueDate(M57,F57)</f>
        <v>42257</v>
      </c>
      <c r="H57" s="27">
        <f>_xll.qlInterestRateIndexMaturity(M57,G57)</f>
        <v>50293</v>
      </c>
      <c r="I57" s="21">
        <f>_xll.qlIndexFixing(M57,F57,,AllTriggers)</f>
        <v>2.7134678849764747E-2</v>
      </c>
      <c r="J57" s="21" t="str">
        <f t="shared" si="2"/>
        <v>USD_CURVE_6M_22Y</v>
      </c>
      <c r="K57" s="21" t="s">
        <v>211</v>
      </c>
      <c r="L57" s="4"/>
      <c r="M57" s="52" t="str">
        <f>_xll.qlSwapIndex(,"NoFix",D57,2,Currency,Calendar,FixedLegTenor,FixedLegBDC,FixedLegDayCounter,IborIndex,DiscountingCurve,,"trigger")</f>
        <v>obj_003fd#0000</v>
      </c>
      <c r="N57" s="4"/>
      <c r="O57" s="4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0"/>
      <c r="AB57" s="6"/>
      <c r="AC57" s="6"/>
      <c r="AD57" s="6"/>
    </row>
    <row r="58" spans="1:30" s="1" customFormat="1" x14ac:dyDescent="0.2">
      <c r="A58" s="4"/>
      <c r="B58" s="4"/>
      <c r="C58" s="4"/>
      <c r="D58" s="46" t="s">
        <v>85</v>
      </c>
      <c r="E58" s="13" t="s">
        <v>98</v>
      </c>
      <c r="F58" s="54">
        <f>_xll.qlInterestRateIndexFixingDate(IborIndex,EffectiveDate,Trigger)</f>
        <v>42255</v>
      </c>
      <c r="G58" s="27">
        <f>_xll.qlInterestRateIndexValueDate(M58,F58)</f>
        <v>42257</v>
      </c>
      <c r="H58" s="27">
        <f>_xll.qlInterestRateIndexMaturity(M58,G58)</f>
        <v>50658</v>
      </c>
      <c r="I58" s="21">
        <f>_xll.qlIndexFixing(M58,F58,,AllTriggers)</f>
        <v>2.7251294054528752E-2</v>
      </c>
      <c r="J58" s="21" t="str">
        <f t="shared" si="2"/>
        <v>USD_CURVE_6M_23Y</v>
      </c>
      <c r="K58" s="21" t="s">
        <v>212</v>
      </c>
      <c r="L58" s="4"/>
      <c r="M58" s="52" t="str">
        <f>_xll.qlSwapIndex(,"NoFix",D58,2,Currency,Calendar,FixedLegTenor,FixedLegBDC,FixedLegDayCounter,IborIndex,DiscountingCurve,,"trigger")</f>
        <v>obj_003f5#0000</v>
      </c>
      <c r="N58" s="4"/>
      <c r="O58" s="4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0"/>
      <c r="AB58" s="6"/>
      <c r="AC58" s="6"/>
      <c r="AD58" s="6"/>
    </row>
    <row r="59" spans="1:30" s="1" customFormat="1" x14ac:dyDescent="0.2">
      <c r="A59" s="4"/>
      <c r="B59" s="4"/>
      <c r="C59" s="4"/>
      <c r="D59" s="46" t="s">
        <v>86</v>
      </c>
      <c r="E59" s="13" t="s">
        <v>98</v>
      </c>
      <c r="F59" s="54">
        <f>_xll.qlInterestRateIndexFixingDate(IborIndex,EffectiveDate,Trigger)</f>
        <v>42255</v>
      </c>
      <c r="G59" s="27">
        <f>_xll.qlInterestRateIndexValueDate(M59,F59)</f>
        <v>42257</v>
      </c>
      <c r="H59" s="27">
        <f>_xll.qlInterestRateIndexMaturity(M59,G59)</f>
        <v>51025</v>
      </c>
      <c r="I59" s="21">
        <f>_xll.qlIndexFixing(M59,F59,,AllTriggers)</f>
        <v>2.7355777577459411E-2</v>
      </c>
      <c r="J59" s="21" t="str">
        <f t="shared" si="2"/>
        <v>USD_CURVE_6M_24Y</v>
      </c>
      <c r="K59" s="21" t="s">
        <v>213</v>
      </c>
      <c r="L59" s="4"/>
      <c r="M59" s="52" t="str">
        <f>_xll.qlSwapIndex(,"NoFix",D59,2,Currency,Calendar,FixedLegTenor,FixedLegBDC,FixedLegDayCounter,IborIndex,DiscountingCurve,,"trigger")</f>
        <v>obj_00440#0000</v>
      </c>
      <c r="N59" s="4"/>
      <c r="O59" s="4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0"/>
      <c r="AB59" s="6"/>
      <c r="AC59" s="6"/>
      <c r="AD59" s="6"/>
    </row>
    <row r="60" spans="1:30" s="1" customFormat="1" x14ac:dyDescent="0.2">
      <c r="A60" s="4"/>
      <c r="B60" s="4"/>
      <c r="C60" s="4"/>
      <c r="D60" s="46" t="s">
        <v>87</v>
      </c>
      <c r="E60" s="13" t="s">
        <v>98</v>
      </c>
      <c r="F60" s="54">
        <f>_xll.qlInterestRateIndexFixingDate(IborIndex,EffectiveDate,Trigger)</f>
        <v>42255</v>
      </c>
      <c r="G60" s="27">
        <f>_xll.qlInterestRateIndexValueDate(M60,F60)</f>
        <v>42257</v>
      </c>
      <c r="H60" s="27">
        <f>_xll.qlInterestRateIndexMaturity(M60,G60)</f>
        <v>51389</v>
      </c>
      <c r="I60" s="21">
        <f>_xll.qlIndexFixing(M60,F60,,AllTriggers)</f>
        <v>2.7449291406634661E-2</v>
      </c>
      <c r="J60" s="21" t="str">
        <f t="shared" si="2"/>
        <v>USD_CURVE_6M_25Y</v>
      </c>
      <c r="K60" s="21" t="s">
        <v>214</v>
      </c>
      <c r="L60" s="4"/>
      <c r="M60" s="52" t="str">
        <f>_xll.qlSwapIndex(,"NoFix",D60,2,Currency,Calendar,FixedLegTenor,FixedLegBDC,FixedLegDayCounter,IborIndex,DiscountingCurve,,"trigger")</f>
        <v>obj_003ce#0000</v>
      </c>
      <c r="N60" s="4"/>
      <c r="O60" s="4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0"/>
      <c r="AB60" s="6"/>
      <c r="AC60" s="6"/>
      <c r="AD60" s="6"/>
    </row>
    <row r="61" spans="1:30" s="1" customFormat="1" x14ac:dyDescent="0.2">
      <c r="A61" s="4"/>
      <c r="B61" s="4"/>
      <c r="C61" s="4"/>
      <c r="D61" s="46" t="s">
        <v>88</v>
      </c>
      <c r="E61" s="13" t="s">
        <v>98</v>
      </c>
      <c r="F61" s="54">
        <f>_xll.qlInterestRateIndexFixingDate(IborIndex,EffectiveDate,Trigger)</f>
        <v>42255</v>
      </c>
      <c r="G61" s="27">
        <f>_xll.qlInterestRateIndexValueDate(M61,F61)</f>
        <v>42257</v>
      </c>
      <c r="H61" s="27">
        <f>_xll.qlInterestRateIndexMaturity(M61,G61)</f>
        <v>51754</v>
      </c>
      <c r="I61" s="21">
        <f>_xll.qlIndexFixing(M61,F61,,AllTriggers)</f>
        <v>2.7534975911500097E-2</v>
      </c>
      <c r="J61" s="21" t="str">
        <f t="shared" si="2"/>
        <v>USD_CURVE_6M_26Y</v>
      </c>
      <c r="K61" s="21" t="s">
        <v>215</v>
      </c>
      <c r="L61" s="4"/>
      <c r="M61" s="52" t="str">
        <f>_xll.qlSwapIndex(,"NoFix",D61,2,Currency,Calendar,FixedLegTenor,FixedLegBDC,FixedLegDayCounter,IborIndex,DiscountingCurve,,"trigger")</f>
        <v>obj_00418#0000</v>
      </c>
      <c r="N61" s="4"/>
      <c r="O61" s="4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0"/>
      <c r="AB61" s="6"/>
      <c r="AC61" s="6"/>
      <c r="AD61" s="6"/>
    </row>
    <row r="62" spans="1:30" s="1" customFormat="1" x14ac:dyDescent="0.2">
      <c r="A62" s="4"/>
      <c r="B62" s="4"/>
      <c r="C62" s="4"/>
      <c r="D62" s="46" t="s">
        <v>89</v>
      </c>
      <c r="E62" s="13" t="s">
        <v>98</v>
      </c>
      <c r="F62" s="54">
        <f>_xll.qlInterestRateIndexFixingDate(IborIndex,EffectiveDate,Trigger)</f>
        <v>42255</v>
      </c>
      <c r="G62" s="27">
        <f>_xll.qlInterestRateIndexValueDate(M62,F62)</f>
        <v>42257</v>
      </c>
      <c r="H62" s="27">
        <f>_xll.qlInterestRateIndexMaturity(M62,G62)</f>
        <v>52119</v>
      </c>
      <c r="I62" s="21">
        <f>_xll.qlIndexFixing(M62,F62,,AllTriggers)</f>
        <v>2.7612818987765755E-2</v>
      </c>
      <c r="J62" s="21" t="str">
        <f t="shared" ref="J62:J68" si="3">Currency&amp;"_CURVE_"&amp;CurveTenor&amp;"_"&amp;D62</f>
        <v>USD_CURVE_6M_27Y</v>
      </c>
      <c r="K62" s="21" t="s">
        <v>216</v>
      </c>
      <c r="L62" s="4"/>
      <c r="M62" s="52" t="str">
        <f>_xll.qlSwapIndex(,"NoFix",D62,2,Currency,Calendar,FixedLegTenor,FixedLegBDC,FixedLegDayCounter,IborIndex,DiscountingCurve,,"trigger")</f>
        <v>obj_003e3#0000</v>
      </c>
      <c r="N62" s="4"/>
      <c r="O62" s="4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0"/>
      <c r="AB62" s="6"/>
      <c r="AC62" s="6"/>
      <c r="AD62" s="6"/>
    </row>
    <row r="63" spans="1:30" s="1" customFormat="1" x14ac:dyDescent="0.2">
      <c r="A63" s="4"/>
      <c r="B63" s="4"/>
      <c r="C63" s="4"/>
      <c r="D63" s="46" t="s">
        <v>90</v>
      </c>
      <c r="E63" s="13" t="s">
        <v>98</v>
      </c>
      <c r="F63" s="54">
        <f>_xll.qlInterestRateIndexFixingDate(IborIndex,EffectiveDate,Trigger)</f>
        <v>42255</v>
      </c>
      <c r="G63" s="27">
        <f>_xll.qlInterestRateIndexValueDate(M63,F63)</f>
        <v>42257</v>
      </c>
      <c r="H63" s="27">
        <f>_xll.qlInterestRateIndexMaturity(M63,G63)</f>
        <v>52484</v>
      </c>
      <c r="I63" s="21">
        <f>_xll.qlIndexFixing(M63,F63,,AllTriggers)</f>
        <v>2.7682781456904292E-2</v>
      </c>
      <c r="J63" s="21" t="str">
        <f t="shared" si="3"/>
        <v>USD_CURVE_6M_28Y</v>
      </c>
      <c r="K63" s="21" t="s">
        <v>217</v>
      </c>
      <c r="L63" s="4"/>
      <c r="M63" s="52" t="str">
        <f>_xll.qlSwapIndex(,"NoFix",D63,2,Currency,Calendar,FixedLegTenor,FixedLegBDC,FixedLegDayCounter,IborIndex,DiscountingCurve,,"trigger")</f>
        <v>obj_003ff#0000</v>
      </c>
      <c r="N63" s="4"/>
      <c r="O63" s="4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0"/>
      <c r="AB63" s="6"/>
      <c r="AC63" s="6"/>
      <c r="AD63" s="6"/>
    </row>
    <row r="64" spans="1:30" s="1" customFormat="1" x14ac:dyDescent="0.2">
      <c r="A64" s="4"/>
      <c r="B64" s="4"/>
      <c r="C64" s="4"/>
      <c r="D64" s="46" t="s">
        <v>91</v>
      </c>
      <c r="E64" s="13" t="s">
        <v>98</v>
      </c>
      <c r="F64" s="54">
        <f>_xll.qlInterestRateIndexFixingDate(IborIndex,EffectiveDate,Trigger)</f>
        <v>42255</v>
      </c>
      <c r="G64" s="27">
        <f>_xll.qlInterestRateIndexValueDate(M64,F64)</f>
        <v>42257</v>
      </c>
      <c r="H64" s="27">
        <f>_xll.qlInterestRateIndexMaturity(M64,G64)</f>
        <v>52852</v>
      </c>
      <c r="I64" s="21">
        <f>_xll.qlIndexFixing(M64,F64,,AllTriggers)</f>
        <v>2.7745414647696955E-2</v>
      </c>
      <c r="J64" s="21" t="str">
        <f t="shared" si="3"/>
        <v>USD_CURVE_6M_29Y</v>
      </c>
      <c r="K64" s="21" t="s">
        <v>218</v>
      </c>
      <c r="L64" s="4"/>
      <c r="M64" s="52" t="str">
        <f>_xll.qlSwapIndex(,"NoFix",D64,2,Currency,Calendar,FixedLegTenor,FixedLegBDC,FixedLegDayCounter,IborIndex,DiscountingCurve,,"trigger")</f>
        <v>obj_0041b#0000</v>
      </c>
      <c r="N64" s="4"/>
      <c r="O64" s="4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0"/>
      <c r="AB64" s="6"/>
      <c r="AC64" s="6"/>
      <c r="AD64" s="6"/>
    </row>
    <row r="65" spans="1:36" s="1" customFormat="1" x14ac:dyDescent="0.2">
      <c r="A65" s="4"/>
      <c r="B65" s="4"/>
      <c r="C65" s="4"/>
      <c r="D65" s="46" t="s">
        <v>92</v>
      </c>
      <c r="E65" s="13" t="s">
        <v>98</v>
      </c>
      <c r="F65" s="54">
        <f>_xll.qlInterestRateIndexFixingDate(IborIndex,EffectiveDate,Trigger)</f>
        <v>42255</v>
      </c>
      <c r="G65" s="27">
        <f>_xll.qlInterestRateIndexValueDate(M65,F65)</f>
        <v>42257</v>
      </c>
      <c r="H65" s="27">
        <f>_xll.qlInterestRateIndexMaturity(M65,G65)</f>
        <v>53216</v>
      </c>
      <c r="I65" s="21">
        <f>_xll.qlIndexFixing(M65,F65,,AllTriggers)</f>
        <v>2.7799410711551811E-2</v>
      </c>
      <c r="J65" s="21" t="str">
        <f t="shared" si="3"/>
        <v>USD_CURVE_6M_30Y</v>
      </c>
      <c r="K65" s="21" t="s">
        <v>219</v>
      </c>
      <c r="L65" s="4"/>
      <c r="M65" s="52" t="str">
        <f>_xll.qlSwapIndex(,"NoFix",D65,2,Currency,Calendar,FixedLegTenor,FixedLegBDC,FixedLegDayCounter,IborIndex,DiscountingCurve,,"trigger")</f>
        <v>obj_00411#0000</v>
      </c>
      <c r="N65" s="4"/>
      <c r="O65" s="4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0"/>
      <c r="AB65" s="6"/>
      <c r="AC65" s="6"/>
      <c r="AD65" s="6"/>
    </row>
    <row r="66" spans="1:36" s="1" customFormat="1" x14ac:dyDescent="0.2">
      <c r="A66" s="4"/>
      <c r="B66" s="4"/>
      <c r="C66" s="4"/>
      <c r="D66" s="46" t="s">
        <v>93</v>
      </c>
      <c r="E66" s="13" t="s">
        <v>98</v>
      </c>
      <c r="F66" s="54">
        <f>_xll.qlInterestRateIndexFixingDate(IborIndex,EffectiveDate,Trigger)</f>
        <v>42255</v>
      </c>
      <c r="G66" s="27">
        <f>_xll.qlInterestRateIndexValueDate(M66,F66)</f>
        <v>42257</v>
      </c>
      <c r="H66" s="27">
        <f>_xll.qlInterestRateIndexMaturity(M66,G66)</f>
        <v>56867</v>
      </c>
      <c r="I66" s="21">
        <f>_xll.qlIndexFixing(M66,F66,,AllTriggers)</f>
        <v>2.7989445497843265E-2</v>
      </c>
      <c r="J66" s="21" t="str">
        <f t="shared" si="3"/>
        <v>USD_CURVE_6M_40Y</v>
      </c>
      <c r="K66" s="21" t="s">
        <v>220</v>
      </c>
      <c r="L66" s="4"/>
      <c r="M66" s="52" t="str">
        <f>_xll.qlSwapIndex(,"NoFix",D66,2,Currency,Calendar,FixedLegTenor,FixedLegBDC,FixedLegDayCounter,IborIndex,DiscountingCurve,,"trigger")</f>
        <v>obj_003fc#0000</v>
      </c>
      <c r="N66" s="4"/>
      <c r="O66" s="4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6"/>
      <c r="AB66" s="6"/>
      <c r="AC66" s="6"/>
      <c r="AD66" s="6"/>
      <c r="AE66" s="6"/>
      <c r="AF66" s="6"/>
      <c r="AG66" s="6"/>
      <c r="AH66" s="6"/>
      <c r="AI66" s="6"/>
      <c r="AJ66" s="6"/>
    </row>
    <row r="67" spans="1:36" s="1" customFormat="1" x14ac:dyDescent="0.2">
      <c r="A67" s="4"/>
      <c r="B67" s="4"/>
      <c r="C67" s="4"/>
      <c r="D67" s="46" t="s">
        <v>94</v>
      </c>
      <c r="E67" s="13" t="s">
        <v>98</v>
      </c>
      <c r="F67" s="54">
        <f>_xll.qlInterestRateIndexFixingDate(IborIndex,EffectiveDate,Trigger)</f>
        <v>42255</v>
      </c>
      <c r="G67" s="27">
        <f>_xll.qlInterestRateIndexValueDate(M67,F67)</f>
        <v>42257</v>
      </c>
      <c r="H67" s="27">
        <f>_xll.qlInterestRateIndexMaturity(M67,G67)</f>
        <v>60520</v>
      </c>
      <c r="I67" s="21">
        <f>_xll.qlIndexFixing(M67,F67,,AllTriggers)</f>
        <v>2.7829380333934464E-2</v>
      </c>
      <c r="J67" s="21" t="str">
        <f t="shared" si="3"/>
        <v>USD_CURVE_6M_50Y</v>
      </c>
      <c r="K67" s="21" t="s">
        <v>221</v>
      </c>
      <c r="L67" s="4"/>
      <c r="M67" s="52" t="str">
        <f>_xll.qlSwapIndex(,"NoFix",D67,2,Currency,Calendar,FixedLegTenor,FixedLegBDC,FixedLegDayCounter,IborIndex,DiscountingCurve,,"trigger")</f>
        <v>obj_00454#0000</v>
      </c>
      <c r="N67" s="4"/>
      <c r="O67" s="4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6"/>
      <c r="AB67" s="6"/>
      <c r="AC67" s="6"/>
      <c r="AD67" s="6"/>
      <c r="AE67" s="6"/>
      <c r="AF67" s="6"/>
      <c r="AG67" s="6"/>
      <c r="AH67" s="6"/>
      <c r="AI67" s="6"/>
      <c r="AJ67" s="6"/>
    </row>
    <row r="68" spans="1:36" s="1" customFormat="1" x14ac:dyDescent="0.2">
      <c r="A68" s="4"/>
      <c r="B68" s="4"/>
      <c r="C68" s="4"/>
      <c r="D68" s="47" t="s">
        <v>95</v>
      </c>
      <c r="E68" s="15" t="s">
        <v>98</v>
      </c>
      <c r="F68" s="56">
        <f>_xll.qlInterestRateIndexFixingDate(IborIndex,EffectiveDate,Trigger)</f>
        <v>42255</v>
      </c>
      <c r="G68" s="178">
        <f>_xll.qlInterestRateIndexValueDate(M68,F68)</f>
        <v>42257</v>
      </c>
      <c r="H68" s="178">
        <f>_xll.qlInterestRateIndexMaturity(M68,G68)</f>
        <v>64172</v>
      </c>
      <c r="I68" s="179">
        <f>_xll.qlIndexFixing(M68,F68,,AllTriggers)</f>
        <v>2.7681175100735454E-2</v>
      </c>
      <c r="J68" s="179" t="str">
        <f t="shared" si="3"/>
        <v>USD_CURVE_6M_60Y</v>
      </c>
      <c r="K68" s="179" t="s">
        <v>222</v>
      </c>
      <c r="L68" s="4"/>
      <c r="M68" s="58" t="str">
        <f>_xll.qlSwapIndex(,"NoFix",D68,2,Currency,Calendar,FixedLegTenor,FixedLegBDC,FixedLegDayCounter,IborIndex,DiscountingCurve,,"trigger")</f>
        <v>obj_00408#0000</v>
      </c>
      <c r="N68" s="4"/>
      <c r="O68" s="4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6"/>
      <c r="AB68" s="6"/>
      <c r="AC68" s="6"/>
      <c r="AD68" s="6"/>
      <c r="AE68" s="6"/>
      <c r="AF68" s="6"/>
      <c r="AG68" s="6"/>
      <c r="AH68" s="6"/>
      <c r="AI68" s="6"/>
      <c r="AJ68" s="6"/>
    </row>
  </sheetData>
  <dataValidations disablePrompts="1" count="2">
    <dataValidation type="list" allowBlank="1" showInputMessage="1" showErrorMessage="1" sqref="Q33 Q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P33 P6">
      <formula1>"Following,Modified Following,Preceding,Modified Preceding,Unadjusted,Half-Month Modified Following"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J68"/>
  <sheetViews>
    <sheetView showGridLines="0" workbookViewId="0"/>
  </sheetViews>
  <sheetFormatPr defaultColWidth="2.85546875" defaultRowHeight="11.25" outlineLevelCol="1" x14ac:dyDescent="0.2"/>
  <cols>
    <col min="1" max="1" width="2.7109375" style="4" customWidth="1"/>
    <col min="2" max="2" width="12" style="4" hidden="1" customWidth="1" outlineLevel="1"/>
    <col min="3" max="3" width="17.28515625" style="4" hidden="1" customWidth="1" outlineLevel="1"/>
    <col min="4" max="4" width="10" style="3" bestFit="1" customWidth="1" collapsed="1"/>
    <col min="5" max="5" width="15.140625" style="4" bestFit="1" customWidth="1"/>
    <col min="6" max="8" width="17.28515625" style="4" customWidth="1"/>
    <col min="9" max="9" width="8" style="5" bestFit="1" customWidth="1"/>
    <col min="10" max="10" width="26.5703125" style="4" bestFit="1" customWidth="1"/>
    <col min="11" max="11" width="26.5703125" style="4" customWidth="1"/>
    <col min="12" max="12" width="2.7109375" style="4" hidden="1" customWidth="1" outlineLevel="1"/>
    <col min="13" max="13" width="15.140625" style="4" hidden="1" customWidth="1" outlineLevel="1"/>
    <col min="14" max="14" width="2.7109375" style="4" hidden="1" customWidth="1" outlineLevel="1"/>
    <col min="15" max="15" width="14.140625" style="4" hidden="1" customWidth="1" outlineLevel="1"/>
    <col min="16" max="17" width="19.28515625" style="2" hidden="1" customWidth="1" outlineLevel="1"/>
    <col min="18" max="18" width="2.7109375" style="2" customWidth="1" collapsed="1"/>
    <col min="19" max="83" width="27.28515625" style="2" customWidth="1"/>
    <col min="84" max="16384" width="2.85546875" style="2"/>
  </cols>
  <sheetData>
    <row r="1" spans="1:30" s="1" customFormat="1" x14ac:dyDescent="0.2">
      <c r="A1" s="37"/>
      <c r="B1" s="37"/>
      <c r="C1" s="37"/>
      <c r="D1" s="34"/>
      <c r="E1" s="35" t="s">
        <v>52</v>
      </c>
      <c r="F1" s="36" t="s">
        <v>22</v>
      </c>
      <c r="G1" s="37"/>
      <c r="H1" s="37"/>
      <c r="I1" s="29"/>
      <c r="J1" s="37"/>
      <c r="K1" s="37"/>
      <c r="L1" s="37"/>
      <c r="M1" s="4"/>
      <c r="N1" s="37"/>
      <c r="O1" s="37"/>
      <c r="P1" s="37"/>
      <c r="Q1" s="37"/>
      <c r="R1" s="37"/>
      <c r="S1" s="23"/>
      <c r="T1" s="2"/>
      <c r="U1" s="2"/>
      <c r="V1" s="2"/>
      <c r="W1" s="2"/>
      <c r="X1" s="2"/>
      <c r="Y1" s="2"/>
      <c r="Z1" s="2"/>
      <c r="AA1" s="20"/>
      <c r="AB1" s="6"/>
      <c r="AC1" s="6"/>
      <c r="AD1" s="6"/>
    </row>
    <row r="2" spans="1:30" s="1" customFormat="1" x14ac:dyDescent="0.2">
      <c r="A2" s="4"/>
      <c r="B2" s="4"/>
      <c r="C2" s="4"/>
      <c r="D2" s="3"/>
      <c r="E2" s="35" t="s">
        <v>53</v>
      </c>
      <c r="F2" s="36" t="str">
        <f>Currency&amp;CurveTenor</f>
        <v>USD1Y</v>
      </c>
      <c r="G2" s="37"/>
      <c r="H2" s="37"/>
      <c r="I2" s="29"/>
      <c r="J2" s="37"/>
      <c r="K2" s="37"/>
      <c r="L2" s="4"/>
      <c r="M2" s="4"/>
      <c r="N2" s="4"/>
      <c r="O2" s="37"/>
      <c r="P2" s="37"/>
      <c r="Q2" s="37"/>
      <c r="R2" s="37"/>
      <c r="S2" s="23"/>
      <c r="T2" s="2"/>
      <c r="U2" s="2"/>
      <c r="V2" s="2"/>
      <c r="W2" s="2"/>
      <c r="X2" s="2"/>
      <c r="Y2" s="2"/>
      <c r="Z2" s="2"/>
      <c r="AA2" s="20"/>
      <c r="AB2" s="6"/>
      <c r="AC2" s="6"/>
      <c r="AD2" s="6"/>
    </row>
    <row r="3" spans="1:30" s="1" customFormat="1" x14ac:dyDescent="0.2">
      <c r="A3" s="4"/>
      <c r="B3" s="4"/>
      <c r="C3" s="4"/>
      <c r="D3" s="3"/>
      <c r="E3" s="35" t="s">
        <v>31</v>
      </c>
      <c r="F3" s="16" t="str">
        <f>IborIndexFamily&amp;CurveTenor</f>
        <v>UsdLibor1Y</v>
      </c>
      <c r="G3" s="37"/>
      <c r="H3" s="37"/>
      <c r="I3" s="29"/>
      <c r="J3" s="37"/>
      <c r="K3" s="37"/>
      <c r="L3" s="4"/>
      <c r="M3" s="4"/>
      <c r="N3" s="4"/>
      <c r="O3" s="37"/>
      <c r="P3" s="37"/>
      <c r="Q3" s="37"/>
      <c r="R3" s="37"/>
      <c r="S3" s="23"/>
      <c r="T3" s="2"/>
      <c r="U3" s="2"/>
      <c r="V3" s="2"/>
      <c r="W3" s="2"/>
      <c r="X3" s="2"/>
      <c r="Y3" s="2"/>
      <c r="Z3" s="2"/>
      <c r="AA3" s="20"/>
      <c r="AB3" s="6"/>
      <c r="AC3" s="6"/>
      <c r="AD3" s="6"/>
    </row>
    <row r="4" spans="1:30" s="1" customFormat="1" x14ac:dyDescent="0.2">
      <c r="A4" s="37"/>
      <c r="B4" s="37"/>
      <c r="C4" s="37"/>
      <c r="D4" s="34"/>
      <c r="E4" s="37"/>
      <c r="F4" s="37"/>
      <c r="G4" s="37"/>
      <c r="H4" s="37"/>
      <c r="I4" s="29"/>
      <c r="J4" s="37"/>
      <c r="K4" s="37"/>
      <c r="L4" s="37"/>
      <c r="M4" s="37"/>
      <c r="N4" s="37"/>
      <c r="O4" s="37"/>
      <c r="P4" s="37"/>
      <c r="Q4" s="37"/>
      <c r="R4" s="37"/>
      <c r="S4" s="23"/>
      <c r="T4" s="2"/>
      <c r="U4" s="2"/>
      <c r="V4" s="2"/>
      <c r="W4" s="2"/>
      <c r="X4" s="2"/>
      <c r="Y4" s="2"/>
      <c r="Z4" s="2"/>
      <c r="AA4" s="20"/>
      <c r="AB4" s="6"/>
      <c r="AC4" s="6"/>
      <c r="AD4" s="6"/>
    </row>
    <row r="5" spans="1:30" s="1" customFormat="1" x14ac:dyDescent="0.2">
      <c r="A5" s="23"/>
      <c r="B5" s="23"/>
      <c r="C5" s="23"/>
      <c r="D5" s="10"/>
      <c r="E5" s="10" t="s">
        <v>37</v>
      </c>
      <c r="F5" s="10" t="s">
        <v>42</v>
      </c>
      <c r="G5" s="10" t="s">
        <v>49</v>
      </c>
      <c r="H5" s="10" t="s">
        <v>35</v>
      </c>
      <c r="I5" s="11" t="s">
        <v>34</v>
      </c>
      <c r="J5" s="11" t="s">
        <v>50</v>
      </c>
      <c r="K5" s="11" t="s">
        <v>51</v>
      </c>
      <c r="L5" s="23"/>
      <c r="M5" s="35" t="s">
        <v>64</v>
      </c>
      <c r="N5" s="4"/>
      <c r="O5" s="35" t="s">
        <v>63</v>
      </c>
      <c r="P5" s="35" t="s">
        <v>60</v>
      </c>
      <c r="Q5" s="35" t="s">
        <v>61</v>
      </c>
      <c r="R5" s="23"/>
      <c r="S5" s="23"/>
      <c r="T5" s="2"/>
      <c r="U5" s="2"/>
      <c r="V5" s="2"/>
      <c r="W5" s="2"/>
      <c r="X5" s="2"/>
      <c r="Y5" s="2"/>
      <c r="Z5" s="2"/>
      <c r="AA5" s="20"/>
      <c r="AB5" s="6"/>
      <c r="AC5" s="6"/>
      <c r="AD5" s="6"/>
    </row>
    <row r="6" spans="1:30" s="1" customFormat="1" x14ac:dyDescent="0.2">
      <c r="A6" s="23"/>
      <c r="B6" s="23"/>
      <c r="C6" s="23"/>
      <c r="D6" s="83"/>
      <c r="E6" s="76"/>
      <c r="F6" s="84"/>
      <c r="G6" s="84"/>
      <c r="H6" s="84"/>
      <c r="I6" s="85"/>
      <c r="J6" s="85"/>
      <c r="K6" s="85"/>
      <c r="L6" s="23"/>
      <c r="M6" s="111"/>
      <c r="N6" s="4"/>
      <c r="O6" s="36" t="b">
        <v>1</v>
      </c>
      <c r="P6" s="36" t="s">
        <v>100</v>
      </c>
      <c r="Q6" s="36" t="s">
        <v>99</v>
      </c>
      <c r="R6" s="23"/>
      <c r="S6" s="23"/>
      <c r="T6" s="2"/>
      <c r="U6" s="2"/>
      <c r="V6" s="2"/>
      <c r="W6" s="2"/>
      <c r="X6" s="2"/>
      <c r="Y6" s="2"/>
      <c r="Z6" s="2"/>
      <c r="AA6" s="20"/>
      <c r="AB6" s="6"/>
      <c r="AC6" s="6"/>
      <c r="AD6" s="6"/>
    </row>
    <row r="7" spans="1:30" s="1" customFormat="1" x14ac:dyDescent="0.2">
      <c r="A7" s="23"/>
      <c r="B7" s="23"/>
      <c r="C7" s="23"/>
      <c r="D7" s="86"/>
      <c r="E7" s="77"/>
      <c r="F7" s="87"/>
      <c r="G7" s="87"/>
      <c r="H7" s="87"/>
      <c r="I7" s="79"/>
      <c r="J7" s="79"/>
      <c r="K7" s="79"/>
      <c r="L7" s="23"/>
      <c r="M7" s="81"/>
      <c r="N7" s="34"/>
      <c r="O7" s="4"/>
      <c r="P7" s="2"/>
      <c r="Q7" s="2"/>
      <c r="R7" s="23"/>
      <c r="S7" s="23"/>
      <c r="T7" s="2"/>
      <c r="U7" s="2"/>
      <c r="V7" s="2"/>
      <c r="W7" s="2"/>
      <c r="X7" s="2"/>
      <c r="Y7" s="2"/>
      <c r="Z7" s="2"/>
      <c r="AA7" s="20"/>
      <c r="AB7" s="6"/>
      <c r="AC7" s="6"/>
      <c r="AD7" s="6"/>
    </row>
    <row r="8" spans="1:30" s="1" customFormat="1" x14ac:dyDescent="0.2">
      <c r="A8" s="23"/>
      <c r="B8" s="23"/>
      <c r="C8" s="23"/>
      <c r="D8" s="86"/>
      <c r="E8" s="77"/>
      <c r="F8" s="87"/>
      <c r="G8" s="87"/>
      <c r="H8" s="87"/>
      <c r="I8" s="79"/>
      <c r="J8" s="79"/>
      <c r="K8" s="79"/>
      <c r="L8" s="23"/>
      <c r="M8" s="81"/>
      <c r="N8" s="34"/>
      <c r="O8" s="4"/>
      <c r="P8" s="2"/>
      <c r="Q8" s="2"/>
      <c r="R8" s="23"/>
      <c r="S8" s="23"/>
      <c r="T8" s="2"/>
      <c r="U8" s="2"/>
      <c r="V8" s="2"/>
      <c r="W8" s="2"/>
      <c r="X8" s="2"/>
      <c r="Y8" s="2"/>
      <c r="Z8" s="2"/>
      <c r="AA8" s="20"/>
      <c r="AB8" s="6"/>
      <c r="AC8" s="6"/>
      <c r="AD8" s="6"/>
    </row>
    <row r="9" spans="1:30" s="1" customFormat="1" x14ac:dyDescent="0.2">
      <c r="A9" s="23"/>
      <c r="B9" s="23"/>
      <c r="C9" s="23"/>
      <c r="D9" s="86" t="s">
        <v>98</v>
      </c>
      <c r="E9" s="77" t="s">
        <v>101</v>
      </c>
      <c r="F9" s="87">
        <f>_xll.qlInterestRateIndexFixingDate(IborIndex,EffectiveDate,Trigger)</f>
        <v>42255</v>
      </c>
      <c r="G9" s="87">
        <f>_xll.qlInterestRateIndexValueDate(M9,F9)</f>
        <v>42257</v>
      </c>
      <c r="H9" s="87">
        <f>_xll.qlInterestRateIndexMaturity(M9,G9)</f>
        <v>42264</v>
      </c>
      <c r="I9" s="79">
        <f>_xll.qlIndexFixing(M9,F9,TRUE,AllTriggers)</f>
        <v>8.7861610748975385E-3</v>
      </c>
      <c r="J9" s="21" t="str">
        <f>Currency&amp;"_CURVE_DEP"&amp;"12M"&amp;"_"&amp;"1W"</f>
        <v>USD_CURVE_DEP12M_1W</v>
      </c>
      <c r="K9" s="21"/>
      <c r="L9" s="23"/>
      <c r="M9" s="81" t="str">
        <f>_xll.qlLibor(,Currency,D9,YieldCurve,,Trigger)</f>
        <v>obj_00386#0000</v>
      </c>
      <c r="N9" s="34"/>
      <c r="O9" s="37"/>
      <c r="P9" s="37"/>
      <c r="Q9" s="37"/>
      <c r="R9" s="23"/>
      <c r="S9" s="23"/>
      <c r="T9" s="2"/>
      <c r="U9" s="2"/>
      <c r="V9" s="2"/>
      <c r="W9" s="2"/>
      <c r="X9" s="2"/>
      <c r="Y9" s="2"/>
      <c r="Z9" s="2"/>
      <c r="AA9" s="20"/>
      <c r="AB9" s="6"/>
      <c r="AC9" s="6"/>
      <c r="AD9" s="6"/>
    </row>
    <row r="10" spans="1:30" s="1" customFormat="1" x14ac:dyDescent="0.2">
      <c r="A10" s="23"/>
      <c r="B10" s="23"/>
      <c r="C10" s="23"/>
      <c r="D10" s="86" t="s">
        <v>15</v>
      </c>
      <c r="E10" s="77" t="s">
        <v>101</v>
      </c>
      <c r="F10" s="87">
        <f>_xll.qlInterestRateIndexFixingDate(IborIndex,EffectiveDate,Trigger)</f>
        <v>42255</v>
      </c>
      <c r="G10" s="87">
        <f>_xll.qlInterestRateIndexValueDate(M10,F10)</f>
        <v>42257</v>
      </c>
      <c r="H10" s="87">
        <f>_xll.qlInterestRateIndexMaturity(M10,G10)</f>
        <v>42271</v>
      </c>
      <c r="I10" s="79">
        <f>_xll.qlIndexFixing(M10,F10,TRUE,AllTriggers)</f>
        <v>8.7845170076437731E-3</v>
      </c>
      <c r="J10" s="79" t="str">
        <f t="shared" ref="J10:J20" si="0">Currency&amp;"_CURVE_DEP"&amp;"12M"&amp;"_"&amp;D10</f>
        <v>USD_CURVE_DEP12M_2W</v>
      </c>
      <c r="K10" s="79"/>
      <c r="L10" s="23"/>
      <c r="M10" s="81" t="str">
        <f>_xll.qlLibor(,Currency,D10,YieldCurve,,Trigger)</f>
        <v>obj_0038c#0000</v>
      </c>
      <c r="N10" s="34"/>
      <c r="O10" s="37"/>
      <c r="P10" s="37"/>
      <c r="Q10" s="37"/>
      <c r="R10" s="23"/>
      <c r="S10" s="23"/>
      <c r="T10" s="2"/>
      <c r="U10" s="2"/>
      <c r="V10" s="2"/>
      <c r="W10" s="2"/>
      <c r="X10" s="2"/>
      <c r="Y10" s="2"/>
      <c r="Z10" s="2"/>
      <c r="AA10" s="20"/>
      <c r="AB10" s="6"/>
      <c r="AC10" s="6"/>
      <c r="AD10" s="6"/>
    </row>
    <row r="11" spans="1:30" s="1" customFormat="1" x14ac:dyDescent="0.2">
      <c r="A11" s="23"/>
      <c r="B11" s="23"/>
      <c r="C11" s="23"/>
      <c r="D11" s="86" t="s">
        <v>71</v>
      </c>
      <c r="E11" s="77" t="s">
        <v>101</v>
      </c>
      <c r="F11" s="87">
        <f>_xll.qlInterestRateIndexFixingDate(IborIndex,EffectiveDate,Trigger)</f>
        <v>42255</v>
      </c>
      <c r="G11" s="87">
        <f>_xll.qlInterestRateIndexValueDate(M11,F11)</f>
        <v>42257</v>
      </c>
      <c r="H11" s="87">
        <f>_xll.qlInterestRateIndexMaturity(M11,G11)</f>
        <v>42278</v>
      </c>
      <c r="I11" s="79">
        <f>_xll.qlIndexFixing(M11,F11,TRUE,AllTriggers)</f>
        <v>8.7812755424998556E-3</v>
      </c>
      <c r="J11" s="79" t="str">
        <f t="shared" si="0"/>
        <v>USD_CURVE_DEP12M_3W</v>
      </c>
      <c r="K11" s="79"/>
      <c r="L11" s="23"/>
      <c r="M11" s="81" t="str">
        <f>_xll.qlLibor(,Currency,D11,YieldCurve,,Trigger)</f>
        <v>obj_0038e#0000</v>
      </c>
      <c r="N11" s="34"/>
      <c r="O11" s="37"/>
      <c r="P11" s="37"/>
      <c r="Q11" s="37"/>
      <c r="R11" s="23"/>
      <c r="S11" s="23"/>
      <c r="T11" s="2"/>
      <c r="U11" s="2"/>
      <c r="V11" s="2"/>
      <c r="W11" s="2"/>
      <c r="X11" s="2"/>
      <c r="Y11" s="2"/>
      <c r="Z11" s="2"/>
      <c r="AA11" s="20"/>
      <c r="AB11" s="6"/>
      <c r="AC11" s="6"/>
      <c r="AD11" s="6"/>
    </row>
    <row r="12" spans="1:30" s="1" customFormat="1" x14ac:dyDescent="0.2">
      <c r="A12" s="23"/>
      <c r="B12" s="23"/>
      <c r="C12" s="23"/>
      <c r="D12" s="86" t="s">
        <v>16</v>
      </c>
      <c r="E12" s="77" t="s">
        <v>101</v>
      </c>
      <c r="F12" s="87">
        <f>_xll.qlInterestRateIndexFixingDate(IborIndex,EffectiveDate,Trigger)</f>
        <v>42255</v>
      </c>
      <c r="G12" s="88">
        <f>_xll.qlInterestRateIndexValueDate(M12,F12)</f>
        <v>42257</v>
      </c>
      <c r="H12" s="87">
        <f>_xll.qlInterestRateIndexMaturity(M12,G12)</f>
        <v>42290</v>
      </c>
      <c r="I12" s="79">
        <f>_xll.qlIndexFixing(M12,F12,TRUE,AllTriggers)</f>
        <v>8.7719999999912417E-3</v>
      </c>
      <c r="J12" s="79" t="str">
        <f t="shared" si="0"/>
        <v>USD_CURVE_DEP12M_1M</v>
      </c>
      <c r="K12" s="79"/>
      <c r="L12" s="23"/>
      <c r="M12" s="81" t="str">
        <f>_xll.qlLibor(,Currency,D12,YieldCurve,,Trigger)</f>
        <v>obj_00388#0000</v>
      </c>
      <c r="N12" s="34"/>
      <c r="O12" s="37"/>
      <c r="P12" s="37"/>
      <c r="Q12" s="37"/>
      <c r="R12" s="23"/>
      <c r="S12" s="23"/>
      <c r="T12" s="2"/>
      <c r="U12" s="2"/>
      <c r="V12" s="2"/>
      <c r="W12" s="2"/>
      <c r="X12" s="2"/>
      <c r="Y12" s="2"/>
      <c r="Z12" s="2"/>
      <c r="AA12" s="20"/>
      <c r="AB12" s="6"/>
      <c r="AC12" s="6"/>
      <c r="AD12" s="6"/>
    </row>
    <row r="13" spans="1:30" s="1" customFormat="1" x14ac:dyDescent="0.2">
      <c r="A13" s="23"/>
      <c r="B13" s="23"/>
      <c r="C13" s="23"/>
      <c r="D13" s="86" t="s">
        <v>17</v>
      </c>
      <c r="E13" s="77" t="s">
        <v>101</v>
      </c>
      <c r="F13" s="87">
        <f>_xll.qlInterestRateIndexFixingDate(IborIndex,EffectiveDate,Trigger)</f>
        <v>42255</v>
      </c>
      <c r="G13" s="88">
        <f>_xll.qlInterestRateIndexValueDate(M13,F13)</f>
        <v>42257</v>
      </c>
      <c r="H13" s="87">
        <f>_xll.qlInterestRateIndexMaturity(M13,G13)</f>
        <v>42318</v>
      </c>
      <c r="I13" s="79">
        <f>_xll.qlIndexFixing(M13,F13,TRUE,AllTriggers)</f>
        <v>8.7279999999867828E-3</v>
      </c>
      <c r="J13" s="79" t="str">
        <f t="shared" si="0"/>
        <v>USD_CURVE_DEP12M_2M</v>
      </c>
      <c r="K13" s="79"/>
      <c r="L13" s="23"/>
      <c r="M13" s="81" t="str">
        <f>_xll.qlLibor(,Currency,D13,YieldCurve,,Trigger)</f>
        <v>obj_0038d#0000</v>
      </c>
      <c r="N13" s="23"/>
      <c r="O13" s="37"/>
      <c r="P13" s="37"/>
      <c r="Q13" s="37"/>
      <c r="R13" s="23"/>
      <c r="S13" s="23"/>
      <c r="T13" s="2"/>
      <c r="U13" s="2"/>
      <c r="V13" s="2"/>
      <c r="W13" s="2"/>
      <c r="X13" s="2"/>
      <c r="Y13" s="2"/>
      <c r="Z13" s="2"/>
      <c r="AA13" s="20"/>
      <c r="AB13" s="6"/>
      <c r="AC13" s="6"/>
      <c r="AD13" s="6"/>
    </row>
    <row r="14" spans="1:30" s="1" customFormat="1" x14ac:dyDescent="0.2">
      <c r="A14" s="23"/>
      <c r="B14" s="23"/>
      <c r="C14" s="23"/>
      <c r="D14" s="86" t="s">
        <v>18</v>
      </c>
      <c r="E14" s="77" t="s">
        <v>101</v>
      </c>
      <c r="F14" s="87">
        <f>_xll.qlInterestRateIndexFixingDate(IborIndex,EffectiveDate,Trigger)</f>
        <v>42255</v>
      </c>
      <c r="G14" s="88">
        <f>_xll.qlInterestRateIndexValueDate(M14,F14)</f>
        <v>42257</v>
      </c>
      <c r="H14" s="87">
        <f>_xll.qlInterestRateIndexMaturity(M14,G14)</f>
        <v>42348</v>
      </c>
      <c r="I14" s="79">
        <f>_xll.qlIndexFixing(M14,F14,TRUE,AllTriggers)</f>
        <v>8.6829999999781388E-3</v>
      </c>
      <c r="J14" s="79" t="str">
        <f t="shared" si="0"/>
        <v>USD_CURVE_DEP12M_3M</v>
      </c>
      <c r="K14" s="79"/>
      <c r="L14" s="23"/>
      <c r="M14" s="81" t="str">
        <f>_xll.qlLibor(,Currency,D14,YieldCurve,,Trigger)</f>
        <v>obj_00387#0000</v>
      </c>
      <c r="N14" s="23"/>
      <c r="O14" s="37"/>
      <c r="P14" s="37"/>
      <c r="Q14" s="37"/>
      <c r="R14" s="23"/>
      <c r="S14" s="23"/>
      <c r="T14" s="2"/>
      <c r="U14" s="2"/>
      <c r="V14" s="2"/>
      <c r="W14" s="2"/>
      <c r="X14" s="2"/>
      <c r="Y14" s="2"/>
      <c r="Z14" s="2"/>
      <c r="AA14" s="20"/>
      <c r="AB14" s="6"/>
      <c r="AC14" s="6"/>
      <c r="AD14" s="6"/>
    </row>
    <row r="15" spans="1:30" s="1" customFormat="1" x14ac:dyDescent="0.2">
      <c r="A15" s="23"/>
      <c r="B15" s="23"/>
      <c r="C15" s="23"/>
      <c r="D15" s="86" t="s">
        <v>19</v>
      </c>
      <c r="E15" s="77" t="s">
        <v>101</v>
      </c>
      <c r="F15" s="87">
        <f>_xll.qlInterestRateIndexFixingDate(IborIndex,EffectiveDate,Trigger)</f>
        <v>42255</v>
      </c>
      <c r="G15" s="88">
        <f>_xll.qlInterestRateIndexValueDate(M15,F15)</f>
        <v>42257</v>
      </c>
      <c r="H15" s="87">
        <f>_xll.qlInterestRateIndexMaturity(M15,G15)</f>
        <v>42380</v>
      </c>
      <c r="I15" s="79">
        <f>_xll.qlIndexFixing(M15,F15,TRUE,AllTriggers)</f>
        <v>8.7149999999993032E-3</v>
      </c>
      <c r="J15" s="79" t="str">
        <f t="shared" si="0"/>
        <v>USD_CURVE_DEP12M_4M</v>
      </c>
      <c r="K15" s="79"/>
      <c r="L15" s="23"/>
      <c r="M15" s="81" t="str">
        <f>_xll.qlLibor(,Currency,D15,YieldCurve,,Trigger)</f>
        <v>obj_0038a#0000</v>
      </c>
      <c r="N15" s="23"/>
      <c r="O15" s="37"/>
      <c r="P15" s="37"/>
      <c r="Q15" s="37"/>
      <c r="R15" s="23"/>
      <c r="S15" s="23"/>
      <c r="T15" s="2"/>
      <c r="U15" s="2"/>
      <c r="V15" s="2"/>
      <c r="W15" s="2"/>
      <c r="X15" s="2"/>
      <c r="Y15" s="2"/>
      <c r="Z15" s="2"/>
      <c r="AA15" s="20"/>
      <c r="AB15" s="6"/>
      <c r="AC15" s="6"/>
      <c r="AD15" s="6"/>
    </row>
    <row r="16" spans="1:30" s="1" customFormat="1" x14ac:dyDescent="0.2">
      <c r="A16" s="23"/>
      <c r="B16" s="23"/>
      <c r="C16" s="23"/>
      <c r="D16" s="86" t="s">
        <v>20</v>
      </c>
      <c r="E16" s="77" t="s">
        <v>101</v>
      </c>
      <c r="F16" s="87">
        <f>_xll.qlInterestRateIndexFixingDate(IborIndex,EffectiveDate,Trigger)</f>
        <v>42255</v>
      </c>
      <c r="G16" s="88">
        <f>_xll.qlInterestRateIndexValueDate(M16,F16)</f>
        <v>42257</v>
      </c>
      <c r="H16" s="87">
        <f>_xll.qlInterestRateIndexMaturity(M16,G16)</f>
        <v>42410</v>
      </c>
      <c r="I16" s="79">
        <f>_xll.qlIndexFixing(M16,F16,TRUE,AllTriggers)</f>
        <v>8.6899999999633833E-3</v>
      </c>
      <c r="J16" s="79" t="str">
        <f t="shared" si="0"/>
        <v>USD_CURVE_DEP12M_5M</v>
      </c>
      <c r="K16" s="79"/>
      <c r="L16" s="23"/>
      <c r="M16" s="81" t="str">
        <f>_xll.qlLibor(,Currency,D16,YieldCurve,,Trigger)</f>
        <v>obj_00389#0000</v>
      </c>
      <c r="N16" s="23"/>
      <c r="O16" s="37"/>
      <c r="P16" s="34"/>
      <c r="Q16" s="37"/>
      <c r="R16" s="23"/>
      <c r="S16" s="23"/>
      <c r="T16" s="2"/>
      <c r="U16" s="2"/>
      <c r="V16" s="2"/>
      <c r="W16" s="2"/>
      <c r="X16" s="2"/>
      <c r="Y16" s="2"/>
      <c r="Z16" s="2"/>
      <c r="AA16" s="20"/>
      <c r="AB16" s="6"/>
      <c r="AC16" s="6"/>
      <c r="AD16" s="6"/>
    </row>
    <row r="17" spans="1:30" s="1" customFormat="1" x14ac:dyDescent="0.2">
      <c r="A17" s="23"/>
      <c r="B17" s="23"/>
      <c r="C17" s="23"/>
      <c r="D17" s="86" t="s">
        <v>13</v>
      </c>
      <c r="E17" s="77" t="s">
        <v>101</v>
      </c>
      <c r="F17" s="87">
        <f>_xll.qlInterestRateIndexFixingDate(IborIndex,EffectiveDate,Trigger)</f>
        <v>42255</v>
      </c>
      <c r="G17" s="88">
        <f>_xll.qlInterestRateIndexValueDate(M17,F17)</f>
        <v>42257</v>
      </c>
      <c r="H17" s="87">
        <f>_xll.qlInterestRateIndexMaturity(M17,G17)</f>
        <v>42439</v>
      </c>
      <c r="I17" s="79">
        <f>_xll.qlIndexFixing(M17,F17,TRUE,AllTriggers)</f>
        <v>8.6419999999997558E-3</v>
      </c>
      <c r="J17" s="79" t="str">
        <f t="shared" si="0"/>
        <v>USD_CURVE_DEP12M_6M</v>
      </c>
      <c r="K17" s="79"/>
      <c r="L17" s="23"/>
      <c r="M17" s="81" t="str">
        <f>_xll.qlLibor(,Currency,D17,YieldCurve,,Trigger)</f>
        <v>obj_00392#0000</v>
      </c>
      <c r="N17" s="23"/>
      <c r="O17" s="37"/>
      <c r="P17" s="34"/>
      <c r="Q17" s="37"/>
      <c r="R17" s="23"/>
      <c r="S17" s="23"/>
      <c r="T17" s="2"/>
      <c r="U17" s="2"/>
      <c r="V17" s="2"/>
      <c r="W17" s="2"/>
      <c r="X17" s="2"/>
      <c r="Y17" s="2"/>
      <c r="Z17" s="2"/>
      <c r="AA17" s="20"/>
      <c r="AB17" s="6"/>
      <c r="AC17" s="6"/>
      <c r="AD17" s="6"/>
    </row>
    <row r="18" spans="1:30" s="1" customFormat="1" x14ac:dyDescent="0.2">
      <c r="A18" s="23"/>
      <c r="B18" s="23"/>
      <c r="C18" s="23"/>
      <c r="D18" s="86" t="s">
        <v>65</v>
      </c>
      <c r="E18" s="77" t="s">
        <v>101</v>
      </c>
      <c r="F18" s="87">
        <f>_xll.qlInterestRateIndexFixingDate(IborIndex,EffectiveDate,Trigger)</f>
        <v>42255</v>
      </c>
      <c r="G18" s="88">
        <f>_xll.qlInterestRateIndexValueDate(M18,F18)</f>
        <v>42257</v>
      </c>
      <c r="H18" s="87">
        <f>_xll.qlInterestRateIndexMaturity(M18,G18)</f>
        <v>42471</v>
      </c>
      <c r="I18" s="79">
        <f>_xll.qlIndexFixing(M18,F18,TRUE,AllTriggers)</f>
        <v>8.6074674601686607E-3</v>
      </c>
      <c r="J18" s="79" t="str">
        <f t="shared" si="0"/>
        <v>USD_CURVE_DEP12M_7M</v>
      </c>
      <c r="K18" s="79"/>
      <c r="L18" s="23"/>
      <c r="M18" s="81" t="str">
        <f>_xll.qlLibor(,Currency,D18,YieldCurve,,Trigger)</f>
        <v>obj_00390#0000</v>
      </c>
      <c r="N18" s="34"/>
      <c r="O18" s="37"/>
      <c r="P18" s="34"/>
      <c r="Q18" s="37"/>
      <c r="R18" s="23"/>
      <c r="S18" s="23"/>
      <c r="T18" s="2"/>
      <c r="U18" s="2"/>
      <c r="V18" s="2"/>
      <c r="W18" s="2"/>
      <c r="X18" s="2"/>
      <c r="Y18" s="2"/>
      <c r="Z18" s="2"/>
      <c r="AA18" s="20"/>
      <c r="AB18" s="6"/>
      <c r="AC18" s="6"/>
      <c r="AD18" s="6"/>
    </row>
    <row r="19" spans="1:30" s="1" customFormat="1" x14ac:dyDescent="0.2">
      <c r="A19" s="23"/>
      <c r="B19" s="23"/>
      <c r="C19" s="23"/>
      <c r="D19" s="86" t="s">
        <v>66</v>
      </c>
      <c r="E19" s="77" t="s">
        <v>101</v>
      </c>
      <c r="F19" s="87">
        <f>_xll.qlInterestRateIndexFixingDate(IborIndex,EffectiveDate,Trigger)</f>
        <v>42255</v>
      </c>
      <c r="G19" s="88">
        <f>_xll.qlInterestRateIndexValueDate(M19,F19)</f>
        <v>42257</v>
      </c>
      <c r="H19" s="87">
        <f>_xll.qlInterestRateIndexMaturity(M19,G19)</f>
        <v>42500</v>
      </c>
      <c r="I19" s="79">
        <f>_xll.qlIndexFixing(M19,F19,TRUE,AllTriggers)</f>
        <v>8.5911937416855901E-3</v>
      </c>
      <c r="J19" s="79" t="str">
        <f t="shared" si="0"/>
        <v>USD_CURVE_DEP12M_8M</v>
      </c>
      <c r="K19" s="79"/>
      <c r="L19" s="23"/>
      <c r="M19" s="81" t="str">
        <f>_xll.qlLibor(,Currency,D19,YieldCurve,,Trigger)</f>
        <v>obj_0038b#0000</v>
      </c>
      <c r="N19" s="34"/>
      <c r="O19" s="37"/>
      <c r="P19" s="34"/>
      <c r="Q19" s="37"/>
      <c r="R19" s="23"/>
      <c r="S19" s="23"/>
      <c r="T19" s="2"/>
      <c r="U19" s="2"/>
      <c r="V19" s="2"/>
      <c r="W19" s="2"/>
      <c r="X19" s="2"/>
      <c r="Y19" s="2"/>
      <c r="Z19" s="2"/>
      <c r="AA19" s="20"/>
      <c r="AB19" s="6"/>
      <c r="AC19" s="6"/>
      <c r="AD19" s="6"/>
    </row>
    <row r="20" spans="1:30" s="1" customFormat="1" x14ac:dyDescent="0.2">
      <c r="A20" s="23"/>
      <c r="B20" s="23"/>
      <c r="C20" s="23"/>
      <c r="D20" s="86" t="s">
        <v>21</v>
      </c>
      <c r="E20" s="77" t="s">
        <v>101</v>
      </c>
      <c r="F20" s="88">
        <f>_xll.qlInterestRateIndexFixingDate(IborIndex,EffectiveDate,Trigger)</f>
        <v>42255</v>
      </c>
      <c r="G20" s="88">
        <f>_xll.qlInterestRateIndexValueDate(M20,F20)</f>
        <v>42257</v>
      </c>
      <c r="H20" s="88">
        <f>_xll.qlInterestRateIndexMaturity(M20,G20)</f>
        <v>42531</v>
      </c>
      <c r="I20" s="79">
        <f>_xll.qlIndexFixing(M20,F20,TRUE,AllTriggers)</f>
        <v>8.5829999999999153E-3</v>
      </c>
      <c r="J20" s="79" t="str">
        <f t="shared" si="0"/>
        <v>USD_CURVE_DEP12M_9M</v>
      </c>
      <c r="K20" s="79"/>
      <c r="L20" s="51"/>
      <c r="M20" s="81" t="str">
        <f>_xll.qlLibor(,Currency,D20,YieldCurve,,Trigger)</f>
        <v>obj_00391#0000</v>
      </c>
      <c r="N20" s="34"/>
      <c r="O20" s="37"/>
      <c r="P20" s="34"/>
      <c r="Q20" s="37"/>
      <c r="R20" s="23"/>
      <c r="S20" s="23"/>
      <c r="T20" s="2"/>
      <c r="U20" s="2"/>
      <c r="V20" s="2"/>
      <c r="W20" s="2"/>
      <c r="X20" s="2"/>
      <c r="Y20" s="2"/>
      <c r="Z20" s="2"/>
      <c r="AA20" s="20"/>
      <c r="AB20" s="6"/>
      <c r="AC20" s="6"/>
      <c r="AD20" s="6"/>
    </row>
    <row r="21" spans="1:30" s="1" customFormat="1" x14ac:dyDescent="0.2">
      <c r="A21" s="23"/>
      <c r="B21" s="23"/>
      <c r="C21" s="23"/>
      <c r="D21" s="86"/>
      <c r="E21" s="77"/>
      <c r="F21" s="88"/>
      <c r="G21" s="88"/>
      <c r="H21" s="88"/>
      <c r="I21" s="79"/>
      <c r="J21" s="79"/>
      <c r="K21" s="79"/>
      <c r="L21" s="51"/>
      <c r="M21" s="81"/>
      <c r="N21" s="34"/>
      <c r="O21" s="37"/>
      <c r="P21" s="34"/>
      <c r="Q21" s="34"/>
      <c r="R21" s="23"/>
      <c r="S21" s="23"/>
      <c r="T21" s="2"/>
      <c r="U21" s="2"/>
      <c r="V21" s="2"/>
      <c r="W21" s="2"/>
      <c r="X21" s="2"/>
      <c r="Y21" s="2"/>
      <c r="Z21" s="2"/>
      <c r="AA21" s="20"/>
      <c r="AB21" s="6"/>
      <c r="AC21" s="6"/>
      <c r="AD21" s="6"/>
    </row>
    <row r="22" spans="1:30" s="1" customFormat="1" x14ac:dyDescent="0.2">
      <c r="A22" s="23"/>
      <c r="B22" s="23"/>
      <c r="C22" s="23"/>
      <c r="D22" s="86"/>
      <c r="E22" s="77"/>
      <c r="F22" s="88"/>
      <c r="G22" s="88"/>
      <c r="H22" s="88"/>
      <c r="I22" s="79"/>
      <c r="J22" s="79"/>
      <c r="K22" s="79"/>
      <c r="L22" s="51"/>
      <c r="M22" s="81"/>
      <c r="N22" s="34"/>
      <c r="O22" s="37"/>
      <c r="P22" s="34"/>
      <c r="Q22" s="34"/>
      <c r="R22" s="23"/>
      <c r="S22" s="23"/>
      <c r="T22" s="2"/>
      <c r="U22" s="2"/>
      <c r="V22" s="2"/>
      <c r="W22" s="2"/>
      <c r="X22" s="2"/>
      <c r="Y22" s="2"/>
      <c r="Z22" s="2"/>
      <c r="AA22" s="20"/>
      <c r="AB22" s="6"/>
      <c r="AC22" s="6"/>
      <c r="AD22" s="6"/>
    </row>
    <row r="23" spans="1:30" s="1" customFormat="1" x14ac:dyDescent="0.2">
      <c r="A23" s="23"/>
      <c r="B23" s="23"/>
      <c r="C23" s="23"/>
      <c r="D23" s="86"/>
      <c r="E23" s="77"/>
      <c r="F23" s="88"/>
      <c r="G23" s="88"/>
      <c r="H23" s="88"/>
      <c r="I23" s="79"/>
      <c r="J23" s="79"/>
      <c r="K23" s="79"/>
      <c r="L23" s="51"/>
      <c r="M23" s="82"/>
      <c r="N23" s="34"/>
      <c r="O23" s="34"/>
      <c r="P23" s="34"/>
      <c r="Q23" s="34"/>
      <c r="R23" s="23"/>
      <c r="S23" s="23"/>
      <c r="T23" s="2"/>
      <c r="U23" s="2"/>
      <c r="V23" s="2"/>
      <c r="W23" s="2"/>
      <c r="X23" s="2"/>
      <c r="Y23" s="2"/>
      <c r="Z23" s="2"/>
      <c r="AA23" s="20"/>
      <c r="AB23" s="6"/>
      <c r="AC23" s="6"/>
      <c r="AD23" s="6"/>
    </row>
    <row r="24" spans="1:30" s="1" customFormat="1" x14ac:dyDescent="0.2">
      <c r="A24" s="23"/>
      <c r="B24" s="23">
        <f>_xll.qlDayCounterYearFraction("actual/360",SettlementDate,C24,,,AllTriggers)</f>
        <v>0.52222222222222225</v>
      </c>
      <c r="C24" s="168">
        <f>_xll.qlIMMNextDate(_xll.qlIMMNextCode(_xll.qlIMMNextCode(EvaluationDate+FuturesRollDays)))</f>
        <v>42445</v>
      </c>
      <c r="D24" s="83" t="str">
        <f>"#"&amp;YEAR(C24)&amp;IF(LEN(MONTH(C24))=1,"0","")&amp;MONTH(C24)&amp;IF(LEN(DAY(C24))=1,"0","")&amp;DAY(C24)</f>
        <v>#20160316</v>
      </c>
      <c r="E24" s="76" t="s">
        <v>116</v>
      </c>
      <c r="F24" s="94"/>
      <c r="G24" s="94"/>
      <c r="H24" s="94"/>
      <c r="I24" s="90">
        <f>(_xll.qlYieldTSDiscount(YieldCurve,SettlementDate,,AllTriggers)/_xll.qlYieldTSDiscount(YieldCurve,C24,,AllTriggers)-1)/B24</f>
        <v>8.6337189583754522E-3</v>
      </c>
      <c r="J24" s="90" t="str">
        <f>Currency&amp;"_CURVE_DEP"&amp;"12M"&amp;"_"&amp;D24</f>
        <v>USD_CURVE_DEP12M_#20160316</v>
      </c>
      <c r="K24" s="90"/>
      <c r="L24" s="51"/>
      <c r="M24" s="35" t="s">
        <v>123</v>
      </c>
      <c r="N24" s="34"/>
      <c r="O24" s="34"/>
      <c r="P24" s="34"/>
      <c r="Q24" s="34"/>
      <c r="R24" s="23"/>
      <c r="S24" s="23"/>
      <c r="T24" s="2"/>
      <c r="U24" s="2"/>
      <c r="V24" s="2"/>
      <c r="W24" s="2"/>
      <c r="X24" s="2"/>
      <c r="Y24" s="2"/>
      <c r="Z24" s="2"/>
      <c r="AA24" s="20"/>
      <c r="AB24" s="6"/>
      <c r="AC24" s="6"/>
      <c r="AD24" s="6"/>
    </row>
    <row r="25" spans="1:30" s="1" customFormat="1" x14ac:dyDescent="0.2">
      <c r="A25" s="23"/>
      <c r="B25" s="23"/>
      <c r="C25" s="23" t="b">
        <v>1</v>
      </c>
      <c r="D25" s="83" t="str">
        <f t="array" ref="D25:D32">_xll.qlIMMNextCodes(EvaluationDate,C25:C32)</f>
        <v>U5</v>
      </c>
      <c r="E25" s="74" t="s">
        <v>105</v>
      </c>
      <c r="F25" s="26">
        <f>_xll.qlInterestRateIndexFixingDate(IborIndex,G25)</f>
        <v>42261</v>
      </c>
      <c r="G25" s="63">
        <f>_xll.qlIMMdate(D25)</f>
        <v>42263</v>
      </c>
      <c r="H25" s="26">
        <f>_xll.qlInterestRateIndexMaturity(IborIndex,G25)</f>
        <v>42629</v>
      </c>
      <c r="I25" s="161">
        <f>(1-_xll.qlIndexFixing($M$25,F25,TRUE,AllTriggers))*100</f>
        <v>99.132068143759241</v>
      </c>
      <c r="J25" s="22" t="str">
        <f t="shared" ref="J25:J32" si="1">Currency&amp;"_CURVE_"&amp;E25&amp;"12M"&amp;"_"&amp;D25</f>
        <v>USD_CURVE_FUT12M_U5</v>
      </c>
      <c r="K25" s="22"/>
      <c r="L25" s="51"/>
      <c r="M25" s="191" t="str">
        <f>_xll.qlLibor(,Currency,"3m",YieldCurve,,Trigger)</f>
        <v>obj_0038f#0000</v>
      </c>
      <c r="N25" s="34"/>
      <c r="O25" s="37"/>
      <c r="P25" s="34"/>
      <c r="Q25" s="34"/>
      <c r="R25" s="23"/>
      <c r="S25" s="23"/>
      <c r="T25" s="2"/>
      <c r="U25" s="2"/>
      <c r="V25" s="2"/>
      <c r="W25" s="2"/>
      <c r="X25" s="2"/>
      <c r="Y25" s="2"/>
      <c r="Z25" s="2"/>
      <c r="AA25" s="20"/>
      <c r="AB25" s="6"/>
      <c r="AC25" s="6"/>
      <c r="AD25" s="6"/>
    </row>
    <row r="26" spans="1:30" s="1" customFormat="1" x14ac:dyDescent="0.2">
      <c r="A26" s="23"/>
      <c r="B26" s="23"/>
      <c r="C26" s="23" t="b">
        <v>1</v>
      </c>
      <c r="D26" s="86" t="str">
        <v>Z5</v>
      </c>
      <c r="E26" s="75" t="s">
        <v>105</v>
      </c>
      <c r="F26" s="88">
        <f>_xll.qlInterestRateIndexFixingDate(IborIndex,G26)</f>
        <v>42352</v>
      </c>
      <c r="G26" s="88">
        <f>_xll.qlIMMdate(D26)</f>
        <v>42354</v>
      </c>
      <c r="H26" s="88">
        <f>_xll.qlInterestRateIndexMaturity(IborIndex,G26)</f>
        <v>42720</v>
      </c>
      <c r="I26" s="162">
        <f>(1-_xll.qlIndexFixing($M$25,F26,TRUE,AllTriggers))*100</f>
        <v>99.144323843902342</v>
      </c>
      <c r="J26" s="79" t="str">
        <f t="shared" si="1"/>
        <v>USD_CURVE_FUT12M_Z5</v>
      </c>
      <c r="K26" s="79"/>
      <c r="L26" s="51"/>
      <c r="M26" s="34"/>
      <c r="N26" s="34"/>
      <c r="O26" s="37"/>
      <c r="P26" s="34"/>
      <c r="Q26" s="34"/>
      <c r="R26" s="23"/>
      <c r="S26" s="23"/>
      <c r="T26" s="2"/>
      <c r="U26" s="2"/>
      <c r="V26" s="2"/>
      <c r="W26" s="2"/>
      <c r="X26" s="2"/>
      <c r="Y26" s="2"/>
      <c r="Z26" s="2"/>
      <c r="AA26" s="20"/>
      <c r="AB26" s="6"/>
      <c r="AC26" s="6"/>
      <c r="AD26" s="6"/>
    </row>
    <row r="27" spans="1:30" s="1" customFormat="1" x14ac:dyDescent="0.2">
      <c r="A27" s="23"/>
      <c r="B27" s="23"/>
      <c r="C27" s="23" t="b">
        <v>1</v>
      </c>
      <c r="D27" s="86" t="str">
        <v>H6</v>
      </c>
      <c r="E27" s="75" t="s">
        <v>105</v>
      </c>
      <c r="F27" s="88">
        <f>_xll.qlInterestRateIndexFixingDate(IborIndex,G27)</f>
        <v>42443</v>
      </c>
      <c r="G27" s="88">
        <f>_xll.qlIMMdate(D27)</f>
        <v>42445</v>
      </c>
      <c r="H27" s="88">
        <f>_xll.qlInterestRateIndexMaturity(IborIndex,G27)</f>
        <v>42810</v>
      </c>
      <c r="I27" s="162">
        <f>(1-_xll.qlIndexFixing($M$25,F27,TRUE,AllTriggers))*100</f>
        <v>99.15613062399818</v>
      </c>
      <c r="J27" s="79" t="str">
        <f t="shared" si="1"/>
        <v>USD_CURVE_FUT12M_H6</v>
      </c>
      <c r="K27" s="79"/>
      <c r="L27" s="51"/>
      <c r="M27" s="34"/>
      <c r="N27" s="34"/>
      <c r="O27" s="37"/>
      <c r="P27" s="34"/>
      <c r="Q27" s="34"/>
      <c r="R27" s="23"/>
      <c r="S27" s="23"/>
      <c r="T27" s="2"/>
      <c r="U27" s="2"/>
      <c r="V27" s="2"/>
      <c r="W27" s="2"/>
      <c r="X27" s="2"/>
      <c r="Y27" s="2"/>
      <c r="Z27" s="2"/>
      <c r="AA27" s="20"/>
      <c r="AB27" s="6"/>
      <c r="AC27" s="6"/>
      <c r="AD27" s="6"/>
    </row>
    <row r="28" spans="1:30" s="1" customFormat="1" x14ac:dyDescent="0.2">
      <c r="A28" s="23"/>
      <c r="B28" s="23"/>
      <c r="C28" s="23" t="b">
        <v>1</v>
      </c>
      <c r="D28" s="86" t="str">
        <v>M6</v>
      </c>
      <c r="E28" s="75" t="s">
        <v>105</v>
      </c>
      <c r="F28" s="88">
        <f>_xll.qlInterestRateIndexFixingDate(IborIndex,G28)</f>
        <v>42534</v>
      </c>
      <c r="G28" s="88">
        <f>_xll.qlIMMdate(D28)</f>
        <v>42536</v>
      </c>
      <c r="H28" s="88">
        <f>_xll.qlInterestRateIndexMaturity(IborIndex,G28)</f>
        <v>42901</v>
      </c>
      <c r="I28" s="162">
        <f>(1-_xll.qlIndexFixing($M$25,F28,TRUE,AllTriggers))*100</f>
        <v>99.15359475661819</v>
      </c>
      <c r="J28" s="79" t="str">
        <f t="shared" si="1"/>
        <v>USD_CURVE_FUT12M_M6</v>
      </c>
      <c r="K28" s="79"/>
      <c r="L28" s="51"/>
      <c r="M28" s="34"/>
      <c r="N28" s="34"/>
      <c r="O28" s="37"/>
      <c r="P28" s="34"/>
      <c r="Q28" s="34"/>
      <c r="R28" s="23"/>
      <c r="S28" s="23"/>
      <c r="T28" s="2"/>
      <c r="U28" s="2"/>
      <c r="V28" s="2"/>
      <c r="W28" s="2"/>
      <c r="X28" s="2"/>
      <c r="Y28" s="2"/>
      <c r="Z28" s="2"/>
      <c r="AA28" s="20"/>
      <c r="AB28" s="6"/>
      <c r="AC28" s="6"/>
      <c r="AD28" s="6"/>
    </row>
    <row r="29" spans="1:30" s="1" customFormat="1" x14ac:dyDescent="0.2">
      <c r="A29" s="23"/>
      <c r="B29" s="23"/>
      <c r="C29" s="23" t="b">
        <v>1</v>
      </c>
      <c r="D29" s="86" t="str">
        <v>U6</v>
      </c>
      <c r="E29" s="75" t="s">
        <v>105</v>
      </c>
      <c r="F29" s="88">
        <f>_xll.qlInterestRateIndexFixingDate(IborIndex,G29)</f>
        <v>42632</v>
      </c>
      <c r="G29" s="88">
        <f>_xll.qlIMMdate(D29)</f>
        <v>42634</v>
      </c>
      <c r="H29" s="88">
        <f>_xll.qlInterestRateIndexMaturity(IborIndex,G29)</f>
        <v>42999</v>
      </c>
      <c r="I29" s="163">
        <f>(1-_xll.qlIndexFixing($M$25,F29,TRUE,AllTriggers))*100</f>
        <v>99.08187215146782</v>
      </c>
      <c r="J29" s="79" t="str">
        <f t="shared" si="1"/>
        <v>USD_CURVE_FUT12M_U6</v>
      </c>
      <c r="K29" s="79"/>
      <c r="L29" s="51"/>
      <c r="M29" s="34"/>
      <c r="N29" s="34"/>
      <c r="O29" s="37"/>
      <c r="P29" s="34"/>
      <c r="Q29" s="34"/>
      <c r="R29" s="23"/>
      <c r="S29" s="23"/>
      <c r="T29" s="2"/>
      <c r="U29" s="2"/>
      <c r="V29" s="2"/>
      <c r="W29" s="2"/>
      <c r="X29" s="2"/>
      <c r="Y29" s="2"/>
      <c r="Z29" s="2"/>
      <c r="AA29" s="20"/>
      <c r="AB29" s="6"/>
      <c r="AC29" s="6"/>
      <c r="AD29" s="6"/>
    </row>
    <row r="30" spans="1:30" s="1" customFormat="1" x14ac:dyDescent="0.2">
      <c r="A30" s="23"/>
      <c r="B30" s="23"/>
      <c r="C30" s="23" t="b">
        <v>1</v>
      </c>
      <c r="D30" s="86" t="str">
        <v>Z6</v>
      </c>
      <c r="E30" s="75" t="s">
        <v>105</v>
      </c>
      <c r="F30" s="88">
        <f>_xll.qlInterestRateIndexFixingDate(IborIndex,G30)</f>
        <v>42723</v>
      </c>
      <c r="G30" s="88">
        <f>_xll.qlIMMdate(D30)</f>
        <v>42725</v>
      </c>
      <c r="H30" s="88">
        <f>_xll.qlInterestRateIndexMaturity(IborIndex,G30)</f>
        <v>43090</v>
      </c>
      <c r="I30" s="163">
        <f>(1-_xll.qlIndexFixing($M$25,F30,TRUE,AllTriggers))*100</f>
        <v>98.494700972713019</v>
      </c>
      <c r="J30" s="79" t="str">
        <f t="shared" si="1"/>
        <v>USD_CURVE_FUT12M_Z6</v>
      </c>
      <c r="K30" s="79"/>
      <c r="L30" s="51"/>
      <c r="M30" s="34"/>
      <c r="N30" s="34"/>
      <c r="O30" s="37"/>
      <c r="P30" s="34"/>
      <c r="Q30" s="34"/>
      <c r="R30" s="23"/>
      <c r="S30" s="23"/>
      <c r="T30" s="2"/>
      <c r="U30" s="2"/>
      <c r="V30" s="2"/>
      <c r="W30" s="2"/>
      <c r="X30" s="2"/>
      <c r="Y30" s="2"/>
      <c r="Z30" s="2"/>
      <c r="AA30" s="20"/>
      <c r="AB30" s="6"/>
      <c r="AC30" s="6"/>
      <c r="AD30" s="6"/>
    </row>
    <row r="31" spans="1:30" s="1" customFormat="1" x14ac:dyDescent="0.2">
      <c r="A31" s="23"/>
      <c r="B31" s="23"/>
      <c r="C31" s="23" t="b">
        <v>1</v>
      </c>
      <c r="D31" s="86" t="str">
        <v>H7</v>
      </c>
      <c r="E31" s="75" t="s">
        <v>105</v>
      </c>
      <c r="F31" s="88">
        <f>_xll.qlInterestRateIndexFixingDate(IborIndex,G31)</f>
        <v>42807</v>
      </c>
      <c r="G31" s="88">
        <f>_xll.qlIMMdate(D31)</f>
        <v>42809</v>
      </c>
      <c r="H31" s="88">
        <f>_xll.qlInterestRateIndexMaturity(IborIndex,G31)</f>
        <v>43174</v>
      </c>
      <c r="I31" s="162">
        <f>(1-_xll.qlIndexFixing($M$25,F31,TRUE,AllTriggers))*100</f>
        <v>98.505519123863053</v>
      </c>
      <c r="J31" s="79" t="str">
        <f t="shared" si="1"/>
        <v>USD_CURVE_FUT12M_H7</v>
      </c>
      <c r="K31" s="79"/>
      <c r="L31" s="23"/>
      <c r="M31" s="34"/>
      <c r="N31" s="34"/>
      <c r="O31" s="37"/>
      <c r="P31" s="34"/>
      <c r="Q31" s="34"/>
      <c r="R31" s="23"/>
      <c r="S31" s="23"/>
      <c r="T31" s="2"/>
      <c r="U31" s="2"/>
      <c r="V31" s="2"/>
      <c r="W31" s="2"/>
      <c r="X31" s="2"/>
      <c r="Y31" s="2"/>
      <c r="Z31" s="2"/>
      <c r="AA31" s="20"/>
      <c r="AB31" s="6"/>
      <c r="AC31" s="6"/>
      <c r="AD31" s="6"/>
    </row>
    <row r="32" spans="1:30" s="1" customFormat="1" x14ac:dyDescent="0.2">
      <c r="A32" s="23"/>
      <c r="B32" s="23"/>
      <c r="C32" s="23" t="b">
        <v>1</v>
      </c>
      <c r="D32" s="86" t="str">
        <v>M7</v>
      </c>
      <c r="E32" s="75" t="s">
        <v>105</v>
      </c>
      <c r="F32" s="88">
        <f>_xll.qlInterestRateIndexFixingDate(IborIndex,G32)</f>
        <v>42905</v>
      </c>
      <c r="G32" s="88">
        <f>_xll.qlIMMdate(D32)</f>
        <v>42907</v>
      </c>
      <c r="H32" s="88">
        <f>_xll.qlInterestRateIndexMaturity(IborIndex,G32)</f>
        <v>43272</v>
      </c>
      <c r="I32" s="162">
        <f>(1-_xll.qlIndexFixing($M$25,F32,TRUE,AllTriggers))*100</f>
        <v>98.237149810716218</v>
      </c>
      <c r="J32" s="79" t="str">
        <f t="shared" si="1"/>
        <v>USD_CURVE_FUT12M_M7</v>
      </c>
      <c r="K32" s="79"/>
      <c r="L32" s="23"/>
      <c r="M32" s="35" t="s">
        <v>36</v>
      </c>
      <c r="N32" s="34"/>
      <c r="O32" s="35" t="s">
        <v>32</v>
      </c>
      <c r="P32" s="35" t="s">
        <v>54</v>
      </c>
      <c r="Q32" s="35" t="s">
        <v>33</v>
      </c>
      <c r="R32" s="23"/>
      <c r="S32" s="23"/>
      <c r="T32" s="2"/>
      <c r="U32" s="2"/>
      <c r="V32" s="2"/>
      <c r="W32" s="2"/>
      <c r="X32" s="2"/>
      <c r="Y32" s="2"/>
      <c r="Z32" s="2"/>
      <c r="AA32" s="20"/>
      <c r="AB32" s="6"/>
      <c r="AC32" s="6"/>
      <c r="AD32" s="6"/>
    </row>
    <row r="33" spans="1:30" s="1" customFormat="1" x14ac:dyDescent="0.2">
      <c r="A33" s="4"/>
      <c r="B33" s="4"/>
      <c r="C33" s="4"/>
      <c r="D33" s="83" t="s">
        <v>22</v>
      </c>
      <c r="E33" s="76" t="s">
        <v>98</v>
      </c>
      <c r="F33" s="94">
        <f>_xll.qlInterestRateIndexFixingDate(IborIndex,EffectiveDate,Trigger)</f>
        <v>42255</v>
      </c>
      <c r="G33" s="94">
        <f>_xll.qlInterestRateIndexValueDate(M33,F33)</f>
        <v>42257</v>
      </c>
      <c r="H33" s="94">
        <f>_xll.qlInterestRateIndexMaturity(M33,G33)</f>
        <v>42625</v>
      </c>
      <c r="I33" s="85">
        <f>_xll.qlIndexFixing(M33,F33,TRUE,AllTriggers)</f>
        <v>8.5679999999999975E-3</v>
      </c>
      <c r="J33" s="85" t="str">
        <f>Currency&amp;"_CURVE_"&amp;"12M"&amp;"_"&amp;D33</f>
        <v>USD_CURVE_12M_1Y</v>
      </c>
      <c r="K33" s="85" t="s">
        <v>223</v>
      </c>
      <c r="L33" s="4"/>
      <c r="M33" s="110" t="str">
        <f>_xll.qlSwapIndex(,"NoFix",D33,2,Currency,Calendar,FixedLegTenor,FixedLegBDC,FixedLegDayCounter,IborIndex,DiscountingCurve,,Trigger)</f>
        <v>obj_0043a#0000</v>
      </c>
      <c r="N33" s="34"/>
      <c r="O33" s="36" t="s">
        <v>22</v>
      </c>
      <c r="P33" s="36" t="s">
        <v>39</v>
      </c>
      <c r="Q33" s="36" t="s">
        <v>99</v>
      </c>
      <c r="R33" s="2"/>
      <c r="S33" s="2"/>
      <c r="T33" s="2"/>
      <c r="U33" s="2"/>
      <c r="V33" s="2"/>
      <c r="W33" s="2"/>
      <c r="X33" s="2"/>
      <c r="Y33" s="2"/>
      <c r="Z33" s="2"/>
      <c r="AA33" s="20"/>
      <c r="AB33" s="6"/>
      <c r="AC33" s="6"/>
      <c r="AD33" s="6"/>
    </row>
    <row r="34" spans="1:30" s="1" customFormat="1" x14ac:dyDescent="0.2">
      <c r="A34" s="4"/>
      <c r="B34" s="4"/>
      <c r="C34" s="4"/>
      <c r="D34" s="86"/>
      <c r="E34" s="77"/>
      <c r="F34" s="88"/>
      <c r="G34" s="88"/>
      <c r="H34" s="88"/>
      <c r="I34" s="80"/>
      <c r="J34" s="79"/>
      <c r="K34" s="79"/>
      <c r="L34" s="4"/>
      <c r="M34" s="52"/>
      <c r="N34" s="4"/>
      <c r="O34" s="4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0"/>
      <c r="AB34" s="6"/>
      <c r="AC34" s="6"/>
      <c r="AD34" s="6"/>
    </row>
    <row r="35" spans="1:30" s="1" customFormat="1" x14ac:dyDescent="0.2">
      <c r="A35" s="4"/>
      <c r="B35" s="4"/>
      <c r="C35" s="4"/>
      <c r="D35" s="86"/>
      <c r="E35" s="77"/>
      <c r="F35" s="88"/>
      <c r="G35" s="88"/>
      <c r="H35" s="88"/>
      <c r="I35" s="80"/>
      <c r="J35" s="79"/>
      <c r="K35" s="79"/>
      <c r="L35" s="4"/>
      <c r="M35" s="103"/>
      <c r="N35" s="4"/>
      <c r="O35" s="4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0"/>
      <c r="AB35" s="6"/>
      <c r="AC35" s="6"/>
      <c r="AD35" s="6"/>
    </row>
    <row r="36" spans="1:30" s="1" customFormat="1" x14ac:dyDescent="0.2">
      <c r="A36" s="4"/>
      <c r="B36" s="4"/>
      <c r="C36" s="4"/>
      <c r="D36" s="86"/>
      <c r="E36" s="77"/>
      <c r="F36" s="88"/>
      <c r="G36" s="88"/>
      <c r="H36" s="88"/>
      <c r="I36" s="80"/>
      <c r="J36" s="79"/>
      <c r="K36" s="79"/>
      <c r="L36" s="4"/>
      <c r="M36" s="103"/>
      <c r="N36" s="4"/>
      <c r="O36" s="4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0"/>
      <c r="AB36" s="6"/>
      <c r="AC36" s="6"/>
      <c r="AD36" s="6"/>
    </row>
    <row r="37" spans="1:30" s="1" customFormat="1" x14ac:dyDescent="0.2">
      <c r="A37" s="4"/>
      <c r="B37" s="4"/>
      <c r="C37" s="4"/>
      <c r="D37" s="86" t="s">
        <v>23</v>
      </c>
      <c r="E37" s="77" t="s">
        <v>98</v>
      </c>
      <c r="F37" s="88">
        <f>_xll.qlInterestRateIndexFixingDate(IborIndex,EffectiveDate,Trigger)</f>
        <v>42255</v>
      </c>
      <c r="G37" s="88">
        <f>_xll.qlInterestRateIndexValueDate(M37,F37)</f>
        <v>42257</v>
      </c>
      <c r="H37" s="88">
        <f>_xll.qlInterestRateIndexMaturity(M37,G37)</f>
        <v>42989</v>
      </c>
      <c r="I37" s="80">
        <f>_xll.qlIndexFixing(M37,F37,TRUE,AllTriggers)</f>
        <v>1.1287024461328237E-2</v>
      </c>
      <c r="J37" s="79" t="str">
        <f>Currency&amp;"_CURVE_"&amp;"12M"&amp;"_"&amp;D37</f>
        <v>USD_CURVE_12M_2Y</v>
      </c>
      <c r="K37" s="79" t="s">
        <v>224</v>
      </c>
      <c r="L37" s="4"/>
      <c r="M37" s="103" t="str">
        <f>_xll.qlSwapIndex(,"NoFix",D37,2,Currency,Calendar,FixedLegTenor,FixedLegBDC,FixedLegDayCounter,IborIndex,DiscountingCurve,,Trigger)</f>
        <v>obj_0041d#0000</v>
      </c>
      <c r="N37" s="4"/>
      <c r="O37" s="4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0"/>
      <c r="AB37" s="6"/>
      <c r="AC37" s="6"/>
      <c r="AD37" s="6"/>
    </row>
    <row r="38" spans="1:30" s="1" customFormat="1" x14ac:dyDescent="0.2">
      <c r="A38" s="4"/>
      <c r="B38" s="4"/>
      <c r="C38" s="4"/>
      <c r="D38" s="86" t="s">
        <v>24</v>
      </c>
      <c r="E38" s="77" t="s">
        <v>98</v>
      </c>
      <c r="F38" s="88">
        <f>_xll.qlInterestRateIndexFixingDate(IborIndex,EffectiveDate,Trigger)</f>
        <v>42255</v>
      </c>
      <c r="G38" s="88">
        <f>_xll.qlInterestRateIndexValueDate(M38,F38)</f>
        <v>42257</v>
      </c>
      <c r="H38" s="88">
        <f>_xll.qlInterestRateIndexMaturity(M38,G38)</f>
        <v>43353</v>
      </c>
      <c r="I38" s="80">
        <f>_xll.qlIndexFixing(M38,F38,TRUE,AllTriggers)</f>
        <v>1.3812472068925304E-2</v>
      </c>
      <c r="J38" s="79" t="str">
        <f t="shared" ref="J38:J68" si="2">Currency&amp;"_CURVE_"&amp;"12M"&amp;"_"&amp;D38</f>
        <v>USD_CURVE_12M_3Y</v>
      </c>
      <c r="K38" s="79" t="s">
        <v>225</v>
      </c>
      <c r="L38" s="4"/>
      <c r="M38" s="103" t="str">
        <f>_xll.qlSwapIndex(,"NoFix",D38,2,Currency,Calendar,FixedLegTenor,FixedLegBDC,FixedLegDayCounter,IborIndex,DiscountingCurve,,Trigger)</f>
        <v>obj_00445#0000</v>
      </c>
      <c r="N38" s="4"/>
      <c r="O38" s="4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0"/>
      <c r="AB38" s="6"/>
      <c r="AC38" s="6"/>
      <c r="AD38" s="6"/>
    </row>
    <row r="39" spans="1:30" s="1" customFormat="1" x14ac:dyDescent="0.2">
      <c r="A39" s="4"/>
      <c r="B39" s="4"/>
      <c r="C39" s="4"/>
      <c r="D39" s="86" t="s">
        <v>25</v>
      </c>
      <c r="E39" s="77" t="s">
        <v>98</v>
      </c>
      <c r="F39" s="88">
        <f>_xll.qlInterestRateIndexFixingDate(IborIndex,EffectiveDate,Trigger)</f>
        <v>42255</v>
      </c>
      <c r="G39" s="88">
        <f>_xll.qlInterestRateIndexValueDate(M39,F39)</f>
        <v>42257</v>
      </c>
      <c r="H39" s="88">
        <f>_xll.qlInterestRateIndexMaturity(M39,G39)</f>
        <v>43718</v>
      </c>
      <c r="I39" s="80">
        <f>_xll.qlIndexFixing(M39,F39,TRUE,AllTriggers)</f>
        <v>1.6139264109472213E-2</v>
      </c>
      <c r="J39" s="79" t="str">
        <f t="shared" si="2"/>
        <v>USD_CURVE_12M_4Y</v>
      </c>
      <c r="K39" s="79" t="s">
        <v>226</v>
      </c>
      <c r="L39" s="4"/>
      <c r="M39" s="103" t="str">
        <f>_xll.qlSwapIndex(,"NoFix",D39,2,Currency,Calendar,FixedLegTenor,FixedLegBDC,FixedLegDayCounter,IborIndex,DiscountingCurve,,Trigger)</f>
        <v>obj_00400#0000</v>
      </c>
      <c r="N39" s="4"/>
      <c r="O39" s="4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0"/>
      <c r="AB39" s="6"/>
      <c r="AC39" s="6"/>
      <c r="AD39" s="6"/>
    </row>
    <row r="40" spans="1:30" s="1" customFormat="1" x14ac:dyDescent="0.2">
      <c r="A40" s="4"/>
      <c r="B40" s="4"/>
      <c r="C40" s="4"/>
      <c r="D40" s="86" t="s">
        <v>26</v>
      </c>
      <c r="E40" s="77" t="s">
        <v>98</v>
      </c>
      <c r="F40" s="88">
        <f>_xll.qlInterestRateIndexFixingDate(IborIndex,EffectiveDate,Trigger)</f>
        <v>42255</v>
      </c>
      <c r="G40" s="88">
        <f>_xll.qlInterestRateIndexValueDate(M40,F40)</f>
        <v>42257</v>
      </c>
      <c r="H40" s="88">
        <f>_xll.qlInterestRateIndexMaturity(M40,G40)</f>
        <v>44084</v>
      </c>
      <c r="I40" s="80">
        <f>_xll.qlIndexFixing(M40,F40,TRUE,AllTriggers)</f>
        <v>1.8173416498238795E-2</v>
      </c>
      <c r="J40" s="79" t="str">
        <f t="shared" si="2"/>
        <v>USD_CURVE_12M_5Y</v>
      </c>
      <c r="K40" s="79" t="s">
        <v>227</v>
      </c>
      <c r="L40" s="4"/>
      <c r="M40" s="103" t="str">
        <f>_xll.qlSwapIndex(,"NoFix",D40,2,Currency,Calendar,FixedLegTenor,FixedLegBDC,FixedLegDayCounter,IborIndex,DiscountingCurve,,Trigger)</f>
        <v>obj_00413#0000</v>
      </c>
      <c r="N40" s="4"/>
      <c r="O40" s="4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0"/>
      <c r="AB40" s="6"/>
      <c r="AC40" s="6"/>
      <c r="AD40" s="6"/>
    </row>
    <row r="41" spans="1:30" s="1" customFormat="1" x14ac:dyDescent="0.2">
      <c r="A41" s="4"/>
      <c r="B41" s="4"/>
      <c r="C41" s="4"/>
      <c r="D41" s="86" t="s">
        <v>72</v>
      </c>
      <c r="E41" s="77" t="s">
        <v>98</v>
      </c>
      <c r="F41" s="88">
        <f>_xll.qlInterestRateIndexFixingDate(IborIndex,EffectiveDate,Trigger)</f>
        <v>42255</v>
      </c>
      <c r="G41" s="88">
        <f>_xll.qlInterestRateIndexValueDate(M41,F41)</f>
        <v>42257</v>
      </c>
      <c r="H41" s="88">
        <f>_xll.qlInterestRateIndexMaturity(M41,G41)</f>
        <v>44449</v>
      </c>
      <c r="I41" s="80">
        <f>_xll.qlIndexFixing(M41,F41,TRUE,AllTriggers)</f>
        <v>1.9909820203072616E-2</v>
      </c>
      <c r="J41" s="79" t="str">
        <f t="shared" si="2"/>
        <v>USD_CURVE_12M_6Y</v>
      </c>
      <c r="K41" s="79" t="s">
        <v>228</v>
      </c>
      <c r="L41" s="4"/>
      <c r="M41" s="103" t="str">
        <f>_xll.qlSwapIndex(,"NoFix",D41,2,Currency,Calendar,FixedLegTenor,FixedLegBDC,FixedLegDayCounter,IborIndex,DiscountingCurve,,Trigger)</f>
        <v>obj_00412#0000</v>
      </c>
      <c r="N41" s="4"/>
      <c r="O41" s="4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0"/>
      <c r="AB41" s="6"/>
      <c r="AC41" s="6"/>
      <c r="AD41" s="6"/>
    </row>
    <row r="42" spans="1:30" s="1" customFormat="1" x14ac:dyDescent="0.2">
      <c r="A42" s="4"/>
      <c r="B42" s="4"/>
      <c r="C42" s="4"/>
      <c r="D42" s="86" t="s">
        <v>27</v>
      </c>
      <c r="E42" s="77" t="s">
        <v>98</v>
      </c>
      <c r="F42" s="88">
        <f>_xll.qlInterestRateIndexFixingDate(IborIndex,EffectiveDate,Trigger)</f>
        <v>42255</v>
      </c>
      <c r="G42" s="88">
        <f>_xll.qlInterestRateIndexValueDate(M42,F42)</f>
        <v>42257</v>
      </c>
      <c r="H42" s="88">
        <f>_xll.qlInterestRateIndexMaturity(M42,G42)</f>
        <v>44816</v>
      </c>
      <c r="I42" s="80">
        <f>_xll.qlIndexFixing(M42,F42,TRUE,AllTriggers)</f>
        <v>2.1378522955239929E-2</v>
      </c>
      <c r="J42" s="79" t="str">
        <f t="shared" si="2"/>
        <v>USD_CURVE_12M_7Y</v>
      </c>
      <c r="K42" s="79" t="s">
        <v>229</v>
      </c>
      <c r="L42" s="4"/>
      <c r="M42" s="103" t="str">
        <f>_xll.qlSwapIndex(,"NoFix",D42,2,Currency,Calendar,FixedLegTenor,FixedLegBDC,FixedLegDayCounter,IborIndex,DiscountingCurve,,Trigger)</f>
        <v>obj_00453#0000</v>
      </c>
      <c r="N42" s="4"/>
      <c r="O42" s="4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0"/>
      <c r="AB42" s="6"/>
      <c r="AC42" s="6"/>
      <c r="AD42" s="6"/>
    </row>
    <row r="43" spans="1:30" s="1" customFormat="1" x14ac:dyDescent="0.2">
      <c r="A43" s="4"/>
      <c r="B43" s="4"/>
      <c r="C43" s="4"/>
      <c r="D43" s="86" t="s">
        <v>73</v>
      </c>
      <c r="E43" s="77" t="s">
        <v>98</v>
      </c>
      <c r="F43" s="88">
        <f>_xll.qlInterestRateIndexFixingDate(IborIndex,EffectiveDate,Trigger)</f>
        <v>42255</v>
      </c>
      <c r="G43" s="88">
        <f>_xll.qlInterestRateIndexValueDate(M43,F43)</f>
        <v>42257</v>
      </c>
      <c r="H43" s="88">
        <f>_xll.qlInterestRateIndexMaturity(M43,G43)</f>
        <v>45180</v>
      </c>
      <c r="I43" s="80">
        <f>_xll.qlIndexFixing(M43,F43,TRUE,AllTriggers)</f>
        <v>2.257437471133036E-2</v>
      </c>
      <c r="J43" s="79" t="str">
        <f t="shared" si="2"/>
        <v>USD_CURVE_12M_8Y</v>
      </c>
      <c r="K43" s="79" t="s">
        <v>230</v>
      </c>
      <c r="L43" s="23"/>
      <c r="M43" s="103" t="str">
        <f>_xll.qlSwapIndex(,"NoFix",D43,2,Currency,Calendar,FixedLegTenor,FixedLegBDC,FixedLegDayCounter,IborIndex,DiscountingCurve,,Trigger)</f>
        <v>obj_003f2#0000</v>
      </c>
      <c r="N43" s="34"/>
      <c r="O43" s="37"/>
      <c r="P43" s="34"/>
      <c r="Q43" s="37"/>
      <c r="R43" s="2"/>
      <c r="S43" s="2"/>
      <c r="T43" s="2"/>
      <c r="U43" s="2"/>
      <c r="V43" s="2"/>
      <c r="W43" s="2"/>
      <c r="X43" s="2"/>
      <c r="Y43" s="2"/>
      <c r="Z43" s="2"/>
      <c r="AA43" s="20"/>
      <c r="AB43" s="6"/>
      <c r="AC43" s="6"/>
      <c r="AD43" s="6"/>
    </row>
    <row r="44" spans="1:30" s="1" customFormat="1" x14ac:dyDescent="0.2">
      <c r="A44" s="4"/>
      <c r="B44" s="4"/>
      <c r="C44" s="4"/>
      <c r="D44" s="86" t="s">
        <v>74</v>
      </c>
      <c r="E44" s="77" t="s">
        <v>98</v>
      </c>
      <c r="F44" s="88">
        <f>_xll.qlInterestRateIndexFixingDate(IborIndex,EffectiveDate,Trigger)</f>
        <v>42255</v>
      </c>
      <c r="G44" s="88">
        <f>_xll.qlInterestRateIndexValueDate(M44,F44)</f>
        <v>42257</v>
      </c>
      <c r="H44" s="88">
        <f>_xll.qlInterestRateIndexMaturity(M44,G44)</f>
        <v>45545</v>
      </c>
      <c r="I44" s="80">
        <f>_xll.qlIndexFixing(M44,F44,TRUE,AllTriggers)</f>
        <v>2.3562684363796303E-2</v>
      </c>
      <c r="J44" s="79" t="str">
        <f t="shared" si="2"/>
        <v>USD_CURVE_12M_9Y</v>
      </c>
      <c r="K44" s="79" t="s">
        <v>231</v>
      </c>
      <c r="L44" s="23"/>
      <c r="M44" s="52" t="str">
        <f>_xll.qlSwapIndex(,"NoFix",D44,2,Currency,Calendar,FixedLegTenor,FixedLegBDC,FixedLegDayCounter,IborIndex,DiscountingCurve,,Trigger)</f>
        <v>obj_003cf#0000</v>
      </c>
      <c r="N44" s="34"/>
      <c r="O44" s="37"/>
      <c r="P44" s="34"/>
      <c r="Q44" s="37"/>
      <c r="R44" s="2"/>
      <c r="S44" s="2"/>
      <c r="T44" s="2"/>
      <c r="U44" s="2"/>
      <c r="V44" s="2"/>
      <c r="W44" s="2"/>
      <c r="X44" s="2"/>
      <c r="Y44" s="2"/>
      <c r="Z44" s="2"/>
      <c r="AA44" s="20"/>
      <c r="AB44" s="6"/>
      <c r="AC44" s="6"/>
      <c r="AD44" s="6"/>
    </row>
    <row r="45" spans="1:30" s="1" customFormat="1" x14ac:dyDescent="0.2">
      <c r="A45" s="4"/>
      <c r="B45" s="4"/>
      <c r="C45" s="4"/>
      <c r="D45" s="86" t="s">
        <v>28</v>
      </c>
      <c r="E45" s="77" t="s">
        <v>98</v>
      </c>
      <c r="F45" s="88">
        <f>_xll.qlInterestRateIndexFixingDate(IborIndex,EffectiveDate,Trigger)</f>
        <v>42255</v>
      </c>
      <c r="G45" s="88">
        <f>_xll.qlInterestRateIndexValueDate(M45,F45)</f>
        <v>42257</v>
      </c>
      <c r="H45" s="88">
        <f>_xll.qlInterestRateIndexMaturity(M45,G45)</f>
        <v>45910</v>
      </c>
      <c r="I45" s="80">
        <f>_xll.qlIndexFixing(M45,F45,TRUE,AllTriggers)</f>
        <v>2.4393391868636479E-2</v>
      </c>
      <c r="J45" s="79" t="str">
        <f t="shared" si="2"/>
        <v>USD_CURVE_12M_10Y</v>
      </c>
      <c r="K45" s="79" t="s">
        <v>232</v>
      </c>
      <c r="L45" s="23"/>
      <c r="M45" s="52" t="str">
        <f>_xll.qlSwapIndex(,"NoFix",D45,2,Currency,Calendar,FixedLegTenor,FixedLegBDC,FixedLegDayCounter,IborIndex,DiscountingCurve,,Trigger)</f>
        <v>obj_0040a#0000</v>
      </c>
      <c r="N45" s="34"/>
      <c r="O45" s="37"/>
      <c r="P45" s="34"/>
      <c r="Q45" s="37"/>
      <c r="R45" s="2"/>
      <c r="S45" s="2"/>
      <c r="T45" s="2"/>
      <c r="U45" s="2"/>
      <c r="V45" s="2"/>
      <c r="W45" s="2"/>
      <c r="X45" s="2"/>
      <c r="Y45" s="2"/>
      <c r="Z45" s="2"/>
      <c r="AA45" s="20"/>
      <c r="AB45" s="6"/>
      <c r="AC45" s="6"/>
      <c r="AD45" s="6"/>
    </row>
    <row r="46" spans="1:30" s="1" customFormat="1" x14ac:dyDescent="0.2">
      <c r="A46" s="4"/>
      <c r="B46" s="4"/>
      <c r="C46" s="4"/>
      <c r="D46" s="86" t="s">
        <v>75</v>
      </c>
      <c r="E46" s="77" t="s">
        <v>98</v>
      </c>
      <c r="F46" s="88">
        <f>_xll.qlInterestRateIndexFixingDate(IborIndex,EffectiveDate,Trigger)</f>
        <v>42255</v>
      </c>
      <c r="G46" s="88">
        <f>_xll.qlInterestRateIndexValueDate(M46,F46)</f>
        <v>42257</v>
      </c>
      <c r="H46" s="88">
        <f>_xll.qlInterestRateIndexMaturity(M46,G46)</f>
        <v>46275</v>
      </c>
      <c r="I46" s="80">
        <f>_xll.qlIndexFixing(M46,F46,TRUE,AllTriggers)</f>
        <v>2.5123741834345452E-2</v>
      </c>
      <c r="J46" s="79" t="str">
        <f t="shared" si="2"/>
        <v>USD_CURVE_12M_11Y</v>
      </c>
      <c r="K46" s="79" t="s">
        <v>233</v>
      </c>
      <c r="L46" s="37"/>
      <c r="M46" s="52" t="str">
        <f>_xll.qlSwapIndex(,"NoFix",D46,2,Currency,Calendar,FixedLegTenor,FixedLegBDC,FixedLegDayCounter,IborIndex,DiscountingCurve,,Trigger)</f>
        <v>obj_00456#0000</v>
      </c>
      <c r="N46" s="34"/>
      <c r="O46" s="37"/>
      <c r="P46" s="34"/>
      <c r="Q46" s="37"/>
      <c r="R46" s="2"/>
      <c r="S46" s="2"/>
      <c r="T46" s="2"/>
      <c r="U46" s="2"/>
      <c r="V46" s="2"/>
      <c r="W46" s="2"/>
      <c r="X46" s="2"/>
      <c r="Y46" s="2"/>
      <c r="Z46" s="2"/>
      <c r="AA46" s="20"/>
      <c r="AB46" s="6"/>
      <c r="AC46" s="6"/>
      <c r="AD46" s="6"/>
    </row>
    <row r="47" spans="1:30" s="1" customFormat="1" x14ac:dyDescent="0.2">
      <c r="A47" s="4"/>
      <c r="B47" s="4"/>
      <c r="C47" s="4"/>
      <c r="D47" s="86" t="s">
        <v>29</v>
      </c>
      <c r="E47" s="77" t="s">
        <v>98</v>
      </c>
      <c r="F47" s="88">
        <f>_xll.qlInterestRateIndexFixingDate(IborIndex,EffectiveDate,Trigger)</f>
        <v>42255</v>
      </c>
      <c r="G47" s="88">
        <f>_xll.qlInterestRateIndexValueDate(M47,F47)</f>
        <v>42257</v>
      </c>
      <c r="H47" s="88">
        <f>_xll.qlInterestRateIndexMaturity(M47,G47)</f>
        <v>46640</v>
      </c>
      <c r="I47" s="80">
        <f>_xll.qlIndexFixing(M47,F47,TRUE,AllTriggers)</f>
        <v>2.5749697777090973E-2</v>
      </c>
      <c r="J47" s="79" t="str">
        <f t="shared" si="2"/>
        <v>USD_CURVE_12M_12Y</v>
      </c>
      <c r="K47" s="79" t="s">
        <v>234</v>
      </c>
      <c r="L47" s="37"/>
      <c r="M47" s="52" t="str">
        <f>_xll.qlSwapIndex(,"NoFix",D47,2,Currency,Calendar,FixedLegTenor,FixedLegBDC,FixedLegDayCounter,IborIndex,DiscountingCurve,,Trigger)</f>
        <v>obj_0045a#0000</v>
      </c>
      <c r="N47" s="34"/>
      <c r="O47" s="37"/>
      <c r="P47" s="34"/>
      <c r="Q47" s="37"/>
      <c r="R47" s="2"/>
      <c r="S47" s="2"/>
      <c r="T47" s="2"/>
      <c r="U47" s="2"/>
      <c r="V47" s="2"/>
      <c r="W47" s="2"/>
      <c r="X47" s="2"/>
      <c r="Y47" s="2"/>
      <c r="Z47" s="2"/>
      <c r="AA47" s="20"/>
      <c r="AB47" s="6"/>
      <c r="AC47" s="6"/>
      <c r="AD47" s="6"/>
    </row>
    <row r="48" spans="1:30" s="1" customFormat="1" x14ac:dyDescent="0.2">
      <c r="A48" s="4"/>
      <c r="B48" s="4"/>
      <c r="C48" s="4"/>
      <c r="D48" s="86" t="s">
        <v>76</v>
      </c>
      <c r="E48" s="77" t="s">
        <v>98</v>
      </c>
      <c r="F48" s="88">
        <f>_xll.qlInterestRateIndexFixingDate(IborIndex,EffectiveDate,Trigger)</f>
        <v>42255</v>
      </c>
      <c r="G48" s="88">
        <f>_xll.qlInterestRateIndexValueDate(M48,F48)</f>
        <v>42257</v>
      </c>
      <c r="H48" s="88">
        <f>_xll.qlInterestRateIndexMaturity(M48,G48)</f>
        <v>47007</v>
      </c>
      <c r="I48" s="80">
        <f>_xll.qlIndexFixing(M48,F48,TRUE,AllTriggers)</f>
        <v>2.628333809889178E-2</v>
      </c>
      <c r="J48" s="79" t="str">
        <f t="shared" si="2"/>
        <v>USD_CURVE_12M_13Y</v>
      </c>
      <c r="K48" s="79" t="s">
        <v>235</v>
      </c>
      <c r="L48" s="4"/>
      <c r="M48" s="52" t="str">
        <f>_xll.qlSwapIndex(,"NoFix",D48,2,Currency,Calendar,FixedLegTenor,FixedLegBDC,FixedLegDayCounter,IborIndex,DiscountingCurve,,Trigger)</f>
        <v>obj_0040e#0000</v>
      </c>
      <c r="N48" s="34"/>
      <c r="O48" s="37"/>
      <c r="P48" s="34"/>
      <c r="Q48" s="37"/>
      <c r="R48" s="2"/>
      <c r="S48" s="2"/>
      <c r="T48" s="2"/>
      <c r="U48" s="2"/>
      <c r="V48" s="2"/>
      <c r="W48" s="2"/>
      <c r="X48" s="2"/>
      <c r="Y48" s="2"/>
      <c r="Z48" s="2"/>
      <c r="AA48" s="20"/>
      <c r="AB48" s="6"/>
      <c r="AC48" s="6"/>
      <c r="AD48" s="6"/>
    </row>
    <row r="49" spans="1:30" s="1" customFormat="1" x14ac:dyDescent="0.2">
      <c r="A49" s="4"/>
      <c r="B49" s="4"/>
      <c r="C49" s="4"/>
      <c r="D49" s="86" t="s">
        <v>77</v>
      </c>
      <c r="E49" s="77" t="s">
        <v>98</v>
      </c>
      <c r="F49" s="88">
        <f>_xll.qlInterestRateIndexFixingDate(IborIndex,EffectiveDate,Trigger)</f>
        <v>42255</v>
      </c>
      <c r="G49" s="88">
        <f>_xll.qlInterestRateIndexValueDate(M49,F49)</f>
        <v>42257</v>
      </c>
      <c r="H49" s="88">
        <f>_xll.qlInterestRateIndexMaturity(M49,G49)</f>
        <v>47371</v>
      </c>
      <c r="I49" s="80">
        <f>_xll.qlIndexFixing(M49,F49,TRUE,AllTriggers)</f>
        <v>2.6732394598222745E-2</v>
      </c>
      <c r="J49" s="79" t="str">
        <f t="shared" si="2"/>
        <v>USD_CURVE_12M_14Y</v>
      </c>
      <c r="K49" s="79" t="s">
        <v>236</v>
      </c>
      <c r="L49" s="4"/>
      <c r="M49" s="52" t="str">
        <f>_xll.qlSwapIndex(,"NoFix",D49,2,Currency,Calendar,FixedLegTenor,FixedLegBDC,FixedLegDayCounter,IborIndex,DiscountingCurve,,Trigger)</f>
        <v>obj_003cd#0000</v>
      </c>
      <c r="N49" s="4"/>
      <c r="O49" s="4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0"/>
      <c r="AB49" s="6"/>
      <c r="AC49" s="6"/>
      <c r="AD49" s="6"/>
    </row>
    <row r="50" spans="1:30" s="1" customFormat="1" x14ac:dyDescent="0.2">
      <c r="A50" s="4"/>
      <c r="B50" s="4"/>
      <c r="C50" s="4"/>
      <c r="D50" s="86" t="s">
        <v>30</v>
      </c>
      <c r="E50" s="77" t="s">
        <v>98</v>
      </c>
      <c r="F50" s="88">
        <f>_xll.qlInterestRateIndexFixingDate(IborIndex,EffectiveDate,Trigger)</f>
        <v>42255</v>
      </c>
      <c r="G50" s="88">
        <f>_xll.qlInterestRateIndexValueDate(M50,F50)</f>
        <v>42257</v>
      </c>
      <c r="H50" s="88">
        <f>_xll.qlInterestRateIndexMaturity(M50,G50)</f>
        <v>47736</v>
      </c>
      <c r="I50" s="80">
        <f>_xll.qlIndexFixing(M50,F50,TRUE,AllTriggers)</f>
        <v>2.7111257624423291E-2</v>
      </c>
      <c r="J50" s="79" t="str">
        <f t="shared" si="2"/>
        <v>USD_CURVE_12M_15Y</v>
      </c>
      <c r="K50" s="79" t="s">
        <v>237</v>
      </c>
      <c r="L50" s="4"/>
      <c r="M50" s="52" t="str">
        <f>_xll.qlSwapIndex(,"NoFix",D50,2,Currency,Calendar,FixedLegTenor,FixedLegBDC,FixedLegDayCounter,IborIndex,DiscountingCurve,,Trigger)</f>
        <v>obj_00435#0000</v>
      </c>
      <c r="N50" s="4"/>
      <c r="O50" s="4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0"/>
      <c r="AB50" s="6"/>
      <c r="AC50" s="6"/>
      <c r="AD50" s="6"/>
    </row>
    <row r="51" spans="1:30" s="1" customFormat="1" x14ac:dyDescent="0.2">
      <c r="A51" s="4"/>
      <c r="B51" s="4"/>
      <c r="C51" s="4"/>
      <c r="D51" s="86" t="s">
        <v>78</v>
      </c>
      <c r="E51" s="77" t="s">
        <v>98</v>
      </c>
      <c r="F51" s="88">
        <f>_xll.qlInterestRateIndexFixingDate(IborIndex,EffectiveDate,Trigger)</f>
        <v>42255</v>
      </c>
      <c r="G51" s="88">
        <f>_xll.qlInterestRateIndexValueDate(M51,F51)</f>
        <v>42257</v>
      </c>
      <c r="H51" s="88">
        <f>_xll.qlInterestRateIndexMaturity(M51,G51)</f>
        <v>48101</v>
      </c>
      <c r="I51" s="80">
        <f>_xll.qlIndexFixing(M51,F51,TRUE,AllTriggers)</f>
        <v>2.7422737555664767E-2</v>
      </c>
      <c r="J51" s="79" t="str">
        <f t="shared" si="2"/>
        <v>USD_CURVE_12M_16Y</v>
      </c>
      <c r="K51" s="79" t="s">
        <v>238</v>
      </c>
      <c r="L51" s="4"/>
      <c r="M51" s="52" t="str">
        <f>_xll.qlSwapIndex(,"NoFix",D51,2,Currency,Calendar,FixedLegTenor,FixedLegBDC,FixedLegDayCounter,IborIndex,DiscountingCurve,,Trigger)</f>
        <v>obj_00417#0000</v>
      </c>
      <c r="N51" s="4"/>
      <c r="O51" s="4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0"/>
      <c r="AB51" s="6"/>
      <c r="AC51" s="6"/>
      <c r="AD51" s="6"/>
    </row>
    <row r="52" spans="1:30" s="1" customFormat="1" x14ac:dyDescent="0.2">
      <c r="A52" s="4"/>
      <c r="B52" s="4"/>
      <c r="C52" s="4"/>
      <c r="D52" s="86" t="s">
        <v>79</v>
      </c>
      <c r="E52" s="77" t="s">
        <v>98</v>
      </c>
      <c r="F52" s="88">
        <f>_xll.qlInterestRateIndexFixingDate(IborIndex,EffectiveDate,Trigger)</f>
        <v>42255</v>
      </c>
      <c r="G52" s="88">
        <f>_xll.qlInterestRateIndexValueDate(M52,F52)</f>
        <v>42257</v>
      </c>
      <c r="H52" s="88">
        <f>_xll.qlInterestRateIndexMaturity(M52,G52)</f>
        <v>48467</v>
      </c>
      <c r="I52" s="80">
        <f>_xll.qlIndexFixing(M52,F52,TRUE,AllTriggers)</f>
        <v>2.7679687072433137E-2</v>
      </c>
      <c r="J52" s="79" t="str">
        <f t="shared" si="2"/>
        <v>USD_CURVE_12M_17Y</v>
      </c>
      <c r="K52" s="79" t="s">
        <v>239</v>
      </c>
      <c r="L52" s="4"/>
      <c r="M52" s="52" t="str">
        <f>_xll.qlSwapIndex(,"NoFix",D52,2,Currency,Calendar,FixedLegTenor,FixedLegBDC,FixedLegDayCounter,IborIndex,DiscountingCurve,,Trigger)</f>
        <v>obj_0043f#0000</v>
      </c>
      <c r="N52" s="4"/>
      <c r="O52" s="4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0"/>
      <c r="AB52" s="6"/>
      <c r="AC52" s="6"/>
      <c r="AD52" s="6"/>
    </row>
    <row r="53" spans="1:30" s="1" customFormat="1" x14ac:dyDescent="0.2">
      <c r="A53" s="4"/>
      <c r="B53" s="4"/>
      <c r="C53" s="4"/>
      <c r="D53" s="86" t="s">
        <v>80</v>
      </c>
      <c r="E53" s="77" t="s">
        <v>98</v>
      </c>
      <c r="F53" s="88">
        <f>_xll.qlInterestRateIndexFixingDate(IborIndex,EffectiveDate,Trigger)</f>
        <v>42255</v>
      </c>
      <c r="G53" s="88">
        <f>_xll.qlInterestRateIndexValueDate(M53,F53)</f>
        <v>42257</v>
      </c>
      <c r="H53" s="88">
        <f>_xll.qlInterestRateIndexMaturity(M53,G53)</f>
        <v>48834</v>
      </c>
      <c r="I53" s="80">
        <f>_xll.qlIndexFixing(M53,F53,TRUE,AllTriggers)</f>
        <v>2.7893441826041424E-2</v>
      </c>
      <c r="J53" s="79" t="str">
        <f t="shared" si="2"/>
        <v>USD_CURVE_12M_18Y</v>
      </c>
      <c r="K53" s="79" t="s">
        <v>240</v>
      </c>
      <c r="L53" s="4"/>
      <c r="M53" s="52" t="str">
        <f>_xll.qlSwapIndex(,"NoFix",D53,2,Currency,Calendar,FixedLegTenor,FixedLegBDC,FixedLegDayCounter,IborIndex,DiscountingCurve,,Trigger)</f>
        <v>obj_003d7#0000</v>
      </c>
      <c r="N53" s="4"/>
      <c r="O53" s="4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0"/>
      <c r="AB53" s="6"/>
      <c r="AC53" s="6"/>
      <c r="AD53" s="6"/>
    </row>
    <row r="54" spans="1:30" s="1" customFormat="1" x14ac:dyDescent="0.2">
      <c r="A54" s="4"/>
      <c r="B54" s="4"/>
      <c r="C54" s="4"/>
      <c r="D54" s="86" t="s">
        <v>81</v>
      </c>
      <c r="E54" s="77" t="s">
        <v>98</v>
      </c>
      <c r="F54" s="88">
        <f>_xll.qlInterestRateIndexFixingDate(IborIndex,EffectiveDate,Trigger)</f>
        <v>42255</v>
      </c>
      <c r="G54" s="88">
        <f>_xll.qlInterestRateIndexValueDate(M54,F54)</f>
        <v>42257</v>
      </c>
      <c r="H54" s="88">
        <f>_xll.qlInterestRateIndexMaturity(M54,G54)</f>
        <v>49198</v>
      </c>
      <c r="I54" s="80">
        <f>_xll.qlIndexFixing(M54,F54,TRUE,AllTriggers)</f>
        <v>2.8070922482838382E-2</v>
      </c>
      <c r="J54" s="79" t="str">
        <f t="shared" si="2"/>
        <v>USD_CURVE_12M_19Y</v>
      </c>
      <c r="K54" s="79" t="s">
        <v>241</v>
      </c>
      <c r="L54" s="4"/>
      <c r="M54" s="52" t="str">
        <f>_xll.qlSwapIndex(,"NoFix",D54,2,Currency,Calendar,FixedLegTenor,FixedLegBDC,FixedLegDayCounter,IborIndex,DiscountingCurve,,Trigger)</f>
        <v>obj_00457#0000</v>
      </c>
      <c r="N54" s="4"/>
      <c r="O54" s="4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0"/>
      <c r="AB54" s="6"/>
      <c r="AC54" s="6"/>
      <c r="AD54" s="6"/>
    </row>
    <row r="55" spans="1:30" s="1" customFormat="1" x14ac:dyDescent="0.2">
      <c r="A55" s="4"/>
      <c r="B55" s="4"/>
      <c r="C55" s="4"/>
      <c r="D55" s="86" t="s">
        <v>82</v>
      </c>
      <c r="E55" s="77" t="s">
        <v>98</v>
      </c>
      <c r="F55" s="88">
        <f>_xll.qlInterestRateIndexFixingDate(IborIndex,EffectiveDate,Trigger)</f>
        <v>42255</v>
      </c>
      <c r="G55" s="88">
        <f>_xll.qlInterestRateIndexValueDate(M55,F55)</f>
        <v>42257</v>
      </c>
      <c r="H55" s="88">
        <f>_xll.qlInterestRateIndexMaturity(M55,G55)</f>
        <v>49562</v>
      </c>
      <c r="I55" s="80">
        <f>_xll.qlIndexFixing(M55,F55,TRUE,AllTriggers)</f>
        <v>2.8221345642684241E-2</v>
      </c>
      <c r="J55" s="79" t="str">
        <f t="shared" si="2"/>
        <v>USD_CURVE_12M_20Y</v>
      </c>
      <c r="K55" s="79" t="s">
        <v>242</v>
      </c>
      <c r="L55" s="4"/>
      <c r="M55" s="52" t="str">
        <f>_xll.qlSwapIndex(,"NoFix",D55,2,Currency,Calendar,FixedLegTenor,FixedLegBDC,FixedLegDayCounter,IborIndex,DiscountingCurve,,Trigger)</f>
        <v>obj_0042d#0000</v>
      </c>
      <c r="N55" s="4"/>
      <c r="O55" s="4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0"/>
      <c r="AB55" s="6"/>
      <c r="AC55" s="6"/>
      <c r="AD55" s="6"/>
    </row>
    <row r="56" spans="1:30" s="1" customFormat="1" x14ac:dyDescent="0.2">
      <c r="A56" s="4"/>
      <c r="B56" s="4"/>
      <c r="C56" s="4"/>
      <c r="D56" s="86" t="s">
        <v>83</v>
      </c>
      <c r="E56" s="77" t="s">
        <v>98</v>
      </c>
      <c r="F56" s="88">
        <f>_xll.qlInterestRateIndexFixingDate(IborIndex,EffectiveDate,Trigger)</f>
        <v>42255</v>
      </c>
      <c r="G56" s="88">
        <f>_xll.qlInterestRateIndexValueDate(M56,F56)</f>
        <v>42257</v>
      </c>
      <c r="H56" s="88">
        <f>_xll.qlInterestRateIndexMaturity(M56,G56)</f>
        <v>49928</v>
      </c>
      <c r="I56" s="80">
        <f>_xll.qlIndexFixing(M56,F56,TRUE,AllTriggers)</f>
        <v>2.8351300455558243E-2</v>
      </c>
      <c r="J56" s="79" t="str">
        <f t="shared" si="2"/>
        <v>USD_CURVE_12M_21Y</v>
      </c>
      <c r="K56" s="79" t="s">
        <v>243</v>
      </c>
      <c r="L56" s="4"/>
      <c r="M56" s="52" t="str">
        <f>_xll.qlSwapIndex(,"NoFix",D56,2,Currency,Calendar,FixedLegTenor,FixedLegBDC,FixedLegDayCounter,IborIndex,DiscountingCurve,,Trigger)</f>
        <v>obj_00425#0000</v>
      </c>
      <c r="N56" s="4"/>
      <c r="O56" s="4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0"/>
      <c r="AB56" s="6"/>
      <c r="AC56" s="6"/>
      <c r="AD56" s="6"/>
    </row>
    <row r="57" spans="1:30" s="1" customFormat="1" x14ac:dyDescent="0.2">
      <c r="A57" s="4"/>
      <c r="B57" s="4"/>
      <c r="C57" s="4"/>
      <c r="D57" s="86" t="s">
        <v>84</v>
      </c>
      <c r="E57" s="77" t="s">
        <v>98</v>
      </c>
      <c r="F57" s="88">
        <f>_xll.qlInterestRateIndexFixingDate(IborIndex,EffectiveDate,Trigger)</f>
        <v>42255</v>
      </c>
      <c r="G57" s="88">
        <f>_xll.qlInterestRateIndexValueDate(M57,F57)</f>
        <v>42257</v>
      </c>
      <c r="H57" s="88">
        <f>_xll.qlInterestRateIndexMaturity(M57,G57)</f>
        <v>50293</v>
      </c>
      <c r="I57" s="80">
        <f>_xll.qlIndexFixing(M57,F57,TRUE,AllTriggers)</f>
        <v>2.8464746517175725E-2</v>
      </c>
      <c r="J57" s="79" t="str">
        <f t="shared" si="2"/>
        <v>USD_CURVE_12M_22Y</v>
      </c>
      <c r="K57" s="79" t="s">
        <v>244</v>
      </c>
      <c r="L57" s="4"/>
      <c r="M57" s="52" t="str">
        <f>_xll.qlSwapIndex(,"NoFix",D57,2,Currency,Calendar,FixedLegTenor,FixedLegBDC,FixedLegDayCounter,IborIndex,DiscountingCurve,,Trigger)</f>
        <v>obj_003da#0000</v>
      </c>
      <c r="N57" s="4"/>
      <c r="O57" s="4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0"/>
      <c r="AB57" s="6"/>
      <c r="AC57" s="6"/>
      <c r="AD57" s="6"/>
    </row>
    <row r="58" spans="1:30" s="1" customFormat="1" x14ac:dyDescent="0.2">
      <c r="A58" s="4"/>
      <c r="B58" s="4"/>
      <c r="C58" s="4"/>
      <c r="D58" s="86" t="s">
        <v>85</v>
      </c>
      <c r="E58" s="77" t="s">
        <v>98</v>
      </c>
      <c r="F58" s="88">
        <f>_xll.qlInterestRateIndexFixingDate(IborIndex,EffectiveDate,Trigger)</f>
        <v>42255</v>
      </c>
      <c r="G58" s="88">
        <f>_xll.qlInterestRateIndexValueDate(M58,F58)</f>
        <v>42257</v>
      </c>
      <c r="H58" s="88">
        <f>_xll.qlInterestRateIndexMaturity(M58,G58)</f>
        <v>50658</v>
      </c>
      <c r="I58" s="80">
        <f>_xll.qlIndexFixing(M58,F58,TRUE,AllTriggers)</f>
        <v>2.8566484455217686E-2</v>
      </c>
      <c r="J58" s="79" t="str">
        <f t="shared" si="2"/>
        <v>USD_CURVE_12M_23Y</v>
      </c>
      <c r="K58" s="79" t="s">
        <v>245</v>
      </c>
      <c r="L58" s="4"/>
      <c r="M58" s="52" t="str">
        <f>_xll.qlSwapIndex(,"NoFix",D58,2,Currency,Calendar,FixedLegTenor,FixedLegBDC,FixedLegDayCounter,IborIndex,DiscountingCurve,,Trigger)</f>
        <v>obj_00434#0000</v>
      </c>
      <c r="N58" s="4"/>
      <c r="O58" s="4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0"/>
      <c r="AB58" s="6"/>
      <c r="AC58" s="6"/>
      <c r="AD58" s="6"/>
    </row>
    <row r="59" spans="1:30" s="1" customFormat="1" x14ac:dyDescent="0.2">
      <c r="A59" s="4"/>
      <c r="B59" s="4"/>
      <c r="C59" s="4"/>
      <c r="D59" s="86" t="s">
        <v>86</v>
      </c>
      <c r="E59" s="77" t="s">
        <v>98</v>
      </c>
      <c r="F59" s="88">
        <f>_xll.qlInterestRateIndexFixingDate(IborIndex,EffectiveDate,Trigger)</f>
        <v>42255</v>
      </c>
      <c r="G59" s="88">
        <f>_xll.qlInterestRateIndexValueDate(M59,F59)</f>
        <v>42257</v>
      </c>
      <c r="H59" s="88">
        <f>_xll.qlInterestRateIndexMaturity(M59,G59)</f>
        <v>51025</v>
      </c>
      <c r="I59" s="80">
        <f>_xll.qlIndexFixing(M59,F59,TRUE,AllTriggers)</f>
        <v>2.8660656624266423E-2</v>
      </c>
      <c r="J59" s="79" t="str">
        <f t="shared" si="2"/>
        <v>USD_CURVE_12M_24Y</v>
      </c>
      <c r="K59" s="79" t="s">
        <v>246</v>
      </c>
      <c r="L59" s="4"/>
      <c r="M59" s="52" t="str">
        <f>_xll.qlSwapIndex(,"NoFix",D59,2,Currency,Calendar,FixedLegTenor,FixedLegBDC,FixedLegDayCounter,IborIndex,DiscountingCurve,,Trigger)</f>
        <v>obj_00401#0000</v>
      </c>
      <c r="N59" s="4"/>
      <c r="O59" s="4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0"/>
      <c r="AB59" s="6"/>
      <c r="AC59" s="6"/>
      <c r="AD59" s="6"/>
    </row>
    <row r="60" spans="1:30" s="1" customFormat="1" x14ac:dyDescent="0.2">
      <c r="A60" s="4"/>
      <c r="B60" s="4"/>
      <c r="C60" s="4"/>
      <c r="D60" s="86" t="s">
        <v>87</v>
      </c>
      <c r="E60" s="77" t="s">
        <v>98</v>
      </c>
      <c r="F60" s="88">
        <f>_xll.qlInterestRateIndexFixingDate(IborIndex,EffectiveDate,Trigger)</f>
        <v>42255</v>
      </c>
      <c r="G60" s="88">
        <f>_xll.qlInterestRateIndexValueDate(M60,F60)</f>
        <v>42257</v>
      </c>
      <c r="H60" s="88">
        <f>_xll.qlInterestRateIndexMaturity(M60,G60)</f>
        <v>51389</v>
      </c>
      <c r="I60" s="80">
        <f>_xll.qlIndexFixing(M60,F60,TRUE,AllTriggers)</f>
        <v>2.8748754092758292E-2</v>
      </c>
      <c r="J60" s="79" t="str">
        <f t="shared" si="2"/>
        <v>USD_CURVE_12M_25Y</v>
      </c>
      <c r="K60" s="79" t="s">
        <v>247</v>
      </c>
      <c r="L60" s="4"/>
      <c r="M60" s="52" t="str">
        <f>_xll.qlSwapIndex(,"NoFix",D60,2,Currency,Calendar,FixedLegTenor,FixedLegBDC,FixedLegDayCounter,IborIndex,DiscountingCurve,,Trigger)</f>
        <v>obj_00438#0000</v>
      </c>
      <c r="N60" s="4"/>
      <c r="O60" s="4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0"/>
      <c r="AB60" s="6"/>
      <c r="AC60" s="6"/>
      <c r="AD60" s="6"/>
    </row>
    <row r="61" spans="1:30" s="1" customFormat="1" x14ac:dyDescent="0.2">
      <c r="A61" s="4"/>
      <c r="B61" s="4"/>
      <c r="C61" s="4"/>
      <c r="D61" s="86" t="s">
        <v>88</v>
      </c>
      <c r="E61" s="77" t="s">
        <v>98</v>
      </c>
      <c r="F61" s="88">
        <f>_xll.qlInterestRateIndexFixingDate(IborIndex,EffectiveDate,Trigger)</f>
        <v>42255</v>
      </c>
      <c r="G61" s="88">
        <f>_xll.qlInterestRateIndexValueDate(M61,F61)</f>
        <v>42257</v>
      </c>
      <c r="H61" s="88">
        <f>_xll.qlInterestRateIndexMaturity(M61,G61)</f>
        <v>51754</v>
      </c>
      <c r="I61" s="80">
        <f>_xll.qlIndexFixing(M61,F61,TRUE,AllTriggers)</f>
        <v>2.8833653155826307E-2</v>
      </c>
      <c r="J61" s="79" t="str">
        <f t="shared" si="2"/>
        <v>USD_CURVE_12M_26Y</v>
      </c>
      <c r="K61" s="79" t="s">
        <v>248</v>
      </c>
      <c r="L61" s="4"/>
      <c r="M61" s="52" t="str">
        <f>_xll.qlSwapIndex(,"NoFix",D61,2,Currency,Calendar,FixedLegTenor,FixedLegBDC,FixedLegDayCounter,IborIndex,DiscountingCurve,,Trigger)</f>
        <v>obj_00426#0000</v>
      </c>
      <c r="N61" s="4"/>
      <c r="O61" s="4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0"/>
      <c r="AB61" s="6"/>
      <c r="AC61" s="6"/>
      <c r="AD61" s="6"/>
    </row>
    <row r="62" spans="1:30" s="1" customFormat="1" x14ac:dyDescent="0.2">
      <c r="A62" s="4"/>
      <c r="B62" s="4"/>
      <c r="C62" s="4"/>
      <c r="D62" s="86" t="s">
        <v>89</v>
      </c>
      <c r="E62" s="77" t="s">
        <v>98</v>
      </c>
      <c r="F62" s="88">
        <f>_xll.qlInterestRateIndexFixingDate(IborIndex,EffectiveDate,Trigger)</f>
        <v>42255</v>
      </c>
      <c r="G62" s="88">
        <f>_xll.qlInterestRateIndexValueDate(M62,F62)</f>
        <v>42257</v>
      </c>
      <c r="H62" s="88">
        <f>_xll.qlInterestRateIndexMaturity(M62,G62)</f>
        <v>52119</v>
      </c>
      <c r="I62" s="80">
        <f>_xll.qlIndexFixing(M62,F62,TRUE,AllTriggers)</f>
        <v>2.8913842197755724E-2</v>
      </c>
      <c r="J62" s="79" t="str">
        <f t="shared" si="2"/>
        <v>USD_CURVE_12M_27Y</v>
      </c>
      <c r="K62" s="79" t="s">
        <v>249</v>
      </c>
      <c r="L62" s="4"/>
      <c r="M62" s="52" t="str">
        <f>_xll.qlSwapIndex(,"NoFix",D62,2,Currency,Calendar,FixedLegTenor,FixedLegBDC,FixedLegDayCounter,IborIndex,DiscountingCurve,,Trigger)</f>
        <v>obj_00416#0000</v>
      </c>
      <c r="N62" s="4"/>
      <c r="O62" s="4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0"/>
      <c r="AB62" s="6"/>
      <c r="AC62" s="6"/>
      <c r="AD62" s="6"/>
    </row>
    <row r="63" spans="1:30" s="1" customFormat="1" x14ac:dyDescent="0.2">
      <c r="A63" s="4"/>
      <c r="B63" s="4"/>
      <c r="C63" s="4"/>
      <c r="D63" s="86" t="s">
        <v>90</v>
      </c>
      <c r="E63" s="77" t="s">
        <v>98</v>
      </c>
      <c r="F63" s="88">
        <f>_xll.qlInterestRateIndexFixingDate(IborIndex,EffectiveDate,Trigger)</f>
        <v>42255</v>
      </c>
      <c r="G63" s="88">
        <f>_xll.qlInterestRateIndexValueDate(M63,F63)</f>
        <v>42257</v>
      </c>
      <c r="H63" s="88">
        <f>_xll.qlInterestRateIndexMaturity(M63,G63)</f>
        <v>52484</v>
      </c>
      <c r="I63" s="80">
        <f>_xll.qlIndexFixing(M63,F63,TRUE,AllTriggers)</f>
        <v>2.8987693363107428E-2</v>
      </c>
      <c r="J63" s="79" t="str">
        <f t="shared" si="2"/>
        <v>USD_CURVE_12M_28Y</v>
      </c>
      <c r="K63" s="79" t="s">
        <v>250</v>
      </c>
      <c r="L63" s="4"/>
      <c r="M63" s="52" t="str">
        <f>_xll.qlSwapIndex(,"NoFix",D63,2,Currency,Calendar,FixedLegTenor,FixedLegBDC,FixedLegDayCounter,IborIndex,DiscountingCurve,,Trigger)</f>
        <v>obj_003e8#0000</v>
      </c>
      <c r="N63" s="4"/>
      <c r="O63" s="4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0"/>
      <c r="AB63" s="6"/>
      <c r="AC63" s="6"/>
      <c r="AD63" s="6"/>
    </row>
    <row r="64" spans="1:30" s="1" customFormat="1" x14ac:dyDescent="0.2">
      <c r="A64" s="4"/>
      <c r="B64" s="4"/>
      <c r="C64" s="4"/>
      <c r="D64" s="86" t="s">
        <v>91</v>
      </c>
      <c r="E64" s="77" t="s">
        <v>98</v>
      </c>
      <c r="F64" s="88">
        <f>_xll.qlInterestRateIndexFixingDate(IborIndex,EffectiveDate,Trigger)</f>
        <v>42255</v>
      </c>
      <c r="G64" s="88">
        <f>_xll.qlInterestRateIndexValueDate(M64,F64)</f>
        <v>42257</v>
      </c>
      <c r="H64" s="88">
        <f>_xll.qlInterestRateIndexMaturity(M64,G64)</f>
        <v>52852</v>
      </c>
      <c r="I64" s="80">
        <f>_xll.qlIndexFixing(M64,F64,TRUE,AllTriggers)</f>
        <v>2.9054472217658518E-2</v>
      </c>
      <c r="J64" s="79" t="str">
        <f t="shared" si="2"/>
        <v>USD_CURVE_12M_29Y</v>
      </c>
      <c r="K64" s="79" t="s">
        <v>251</v>
      </c>
      <c r="L64" s="4"/>
      <c r="M64" s="52" t="str">
        <f>_xll.qlSwapIndex(,"NoFix",D64,2,Currency,Calendar,FixedLegTenor,FixedLegBDC,FixedLegDayCounter,IborIndex,DiscountingCurve,,Trigger)</f>
        <v>obj_0043d#0000</v>
      </c>
      <c r="N64" s="4"/>
      <c r="O64" s="4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0"/>
      <c r="AB64" s="6"/>
      <c r="AC64" s="6"/>
      <c r="AD64" s="6"/>
    </row>
    <row r="65" spans="1:36" s="1" customFormat="1" x14ac:dyDescent="0.2">
      <c r="A65" s="4"/>
      <c r="B65" s="4"/>
      <c r="C65" s="4"/>
      <c r="D65" s="86" t="s">
        <v>92</v>
      </c>
      <c r="E65" s="77" t="s">
        <v>98</v>
      </c>
      <c r="F65" s="88">
        <f>_xll.qlInterestRateIndexFixingDate(IborIndex,EffectiveDate,Trigger)</f>
        <v>42255</v>
      </c>
      <c r="G65" s="88">
        <f>_xll.qlInterestRateIndexValueDate(M65,F65)</f>
        <v>42257</v>
      </c>
      <c r="H65" s="88">
        <f>_xll.qlInterestRateIndexMaturity(M65,G65)</f>
        <v>53216</v>
      </c>
      <c r="I65" s="80">
        <f>_xll.qlIndexFixing(M65,F65,TRUE,AllTriggers)</f>
        <v>2.911164463644534E-2</v>
      </c>
      <c r="J65" s="79" t="str">
        <f t="shared" si="2"/>
        <v>USD_CURVE_12M_30Y</v>
      </c>
      <c r="K65" s="79" t="s">
        <v>252</v>
      </c>
      <c r="L65" s="4"/>
      <c r="M65" s="52" t="str">
        <f>_xll.qlSwapIndex(,"NoFix",D65,2,Currency,Calendar,FixedLegTenor,FixedLegBDC,FixedLegDayCounter,IborIndex,DiscountingCurve,,Trigger)</f>
        <v>obj_00429#0000</v>
      </c>
      <c r="N65" s="4"/>
      <c r="O65" s="4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0"/>
      <c r="AB65" s="6"/>
      <c r="AC65" s="6"/>
      <c r="AD65" s="6"/>
    </row>
    <row r="66" spans="1:36" s="1" customFormat="1" x14ac:dyDescent="0.2">
      <c r="A66" s="4"/>
      <c r="B66" s="4"/>
      <c r="C66" s="4"/>
      <c r="D66" s="86" t="s">
        <v>93</v>
      </c>
      <c r="E66" s="77" t="s">
        <v>98</v>
      </c>
      <c r="F66" s="88">
        <f>_xll.qlInterestRateIndexFixingDate(IborIndex,EffectiveDate,Trigger)</f>
        <v>42255</v>
      </c>
      <c r="G66" s="88">
        <f>_xll.qlInterestRateIndexValueDate(M66,F66)</f>
        <v>42257</v>
      </c>
      <c r="H66" s="88">
        <f>_xll.qlInterestRateIndexMaturity(M66,G66)</f>
        <v>56867</v>
      </c>
      <c r="I66" s="80">
        <f>_xll.qlIndexFixing(M66,F66,TRUE,AllTriggers)</f>
        <v>2.9301724644985736E-2</v>
      </c>
      <c r="J66" s="79" t="str">
        <f t="shared" si="2"/>
        <v>USD_CURVE_12M_40Y</v>
      </c>
      <c r="K66" s="79" t="s">
        <v>253</v>
      </c>
      <c r="L66" s="4"/>
      <c r="M66" s="52" t="str">
        <f>_xll.qlSwapIndex(,"NoFix",D66,2,Currency,Calendar,FixedLegTenor,FixedLegBDC,FixedLegDayCounter,IborIndex,DiscountingCurve,,Trigger)</f>
        <v>obj_00459#0000</v>
      </c>
      <c r="N66" s="4"/>
      <c r="O66" s="4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6"/>
      <c r="AB66" s="6"/>
      <c r="AC66" s="6"/>
      <c r="AD66" s="6"/>
      <c r="AE66" s="6"/>
      <c r="AF66" s="6"/>
      <c r="AG66" s="6"/>
      <c r="AH66" s="6"/>
      <c r="AI66" s="6"/>
      <c r="AJ66" s="6"/>
    </row>
    <row r="67" spans="1:36" s="1" customFormat="1" x14ac:dyDescent="0.2">
      <c r="A67" s="4"/>
      <c r="B67" s="4"/>
      <c r="C67" s="4"/>
      <c r="D67" s="86" t="s">
        <v>94</v>
      </c>
      <c r="E67" s="77" t="s">
        <v>98</v>
      </c>
      <c r="F67" s="88">
        <f>_xll.qlInterestRateIndexFixingDate(IborIndex,EffectiveDate,Trigger)</f>
        <v>42255</v>
      </c>
      <c r="G67" s="88">
        <f>_xll.qlInterestRateIndexValueDate(M67,F67)</f>
        <v>42257</v>
      </c>
      <c r="H67" s="88">
        <f>_xll.qlInterestRateIndexMaturity(M67,G67)</f>
        <v>60520</v>
      </c>
      <c r="I67" s="80">
        <f>_xll.qlIndexFixing(M67,F67,TRUE,AllTriggers)</f>
        <v>2.9141574768051449E-2</v>
      </c>
      <c r="J67" s="79" t="str">
        <f t="shared" si="2"/>
        <v>USD_CURVE_12M_50Y</v>
      </c>
      <c r="K67" s="79" t="s">
        <v>254</v>
      </c>
      <c r="L67" s="4"/>
      <c r="M67" s="52" t="str">
        <f>_xll.qlSwapIndex(,"NoFix",D67,2,Currency,Calendar,FixedLegTenor,FixedLegBDC,FixedLegDayCounter,IborIndex,DiscountingCurve,,Trigger)</f>
        <v>obj_0041e#0000</v>
      </c>
      <c r="N67" s="4"/>
      <c r="O67" s="4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6"/>
      <c r="AB67" s="6"/>
      <c r="AC67" s="6"/>
      <c r="AD67" s="6"/>
      <c r="AE67" s="6"/>
      <c r="AF67" s="6"/>
      <c r="AG67" s="6"/>
      <c r="AH67" s="6"/>
      <c r="AI67" s="6"/>
      <c r="AJ67" s="6"/>
    </row>
    <row r="68" spans="1:36" s="1" customFormat="1" x14ac:dyDescent="0.2">
      <c r="A68" s="4"/>
      <c r="B68" s="4"/>
      <c r="C68" s="4"/>
      <c r="D68" s="89" t="s">
        <v>95</v>
      </c>
      <c r="E68" s="78" t="s">
        <v>98</v>
      </c>
      <c r="F68" s="92">
        <f>_xll.qlInterestRateIndexFixingDate(IborIndex,EffectiveDate,Trigger)</f>
        <v>42255</v>
      </c>
      <c r="G68" s="92">
        <f>_xll.qlInterestRateIndexValueDate(M68,F68)</f>
        <v>42257</v>
      </c>
      <c r="H68" s="92">
        <f>_xll.qlInterestRateIndexMaturity(M68,G68)</f>
        <v>64172</v>
      </c>
      <c r="I68" s="93">
        <f>_xll.qlIndexFixing(M68,F68,TRUE,AllTriggers)</f>
        <v>2.8993298854160104E-2</v>
      </c>
      <c r="J68" s="91" t="str">
        <f t="shared" si="2"/>
        <v>USD_CURVE_12M_60Y</v>
      </c>
      <c r="K68" s="91" t="s">
        <v>255</v>
      </c>
      <c r="L68" s="4"/>
      <c r="M68" s="58" t="str">
        <f>_xll.qlSwapIndex(,"NoFix",D68,2,Currency,Calendar,FixedLegTenor,FixedLegBDC,FixedLegDayCounter,IborIndex,DiscountingCurve,,Trigger)</f>
        <v>obj_0042b#0000</v>
      </c>
      <c r="N68" s="4"/>
      <c r="O68" s="4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6"/>
      <c r="AB68" s="6"/>
      <c r="AC68" s="6"/>
      <c r="AD68" s="6"/>
      <c r="AE68" s="6"/>
      <c r="AF68" s="6"/>
      <c r="AG68" s="6"/>
      <c r="AH68" s="6"/>
      <c r="AI68" s="6"/>
      <c r="AJ68" s="6"/>
    </row>
  </sheetData>
  <dataValidations disablePrompts="1" count="2">
    <dataValidation type="list" allowBlank="1" showInputMessage="1" showErrorMessage="1" sqref="P33 P6">
      <formula1>"Following,Modified Following,Preceding,Modified Preceding,Unadjusted,Half-Month Modified Following"</formula1>
    </dataValidation>
    <dataValidation type="list" allowBlank="1" showInputMessage="1" showErrorMessage="1" sqref="Q33 Q6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P68"/>
  <sheetViews>
    <sheetView showGridLines="0" workbookViewId="0"/>
  </sheetViews>
  <sheetFormatPr defaultColWidth="2.85546875" defaultRowHeight="11.25" outlineLevelCol="1" x14ac:dyDescent="0.2"/>
  <cols>
    <col min="1" max="1" width="2.7109375" style="4" customWidth="1"/>
    <col min="2" max="2" width="10" style="3" bestFit="1" customWidth="1"/>
    <col min="3" max="3" width="15.140625" style="4" bestFit="1" customWidth="1"/>
    <col min="4" max="6" width="17.28515625" style="4" customWidth="1"/>
    <col min="7" max="7" width="8" style="5" bestFit="1" customWidth="1"/>
    <col min="8" max="8" width="24.42578125" style="4" bestFit="1" customWidth="1"/>
    <col min="9" max="9" width="24.42578125" style="4" customWidth="1"/>
    <col min="10" max="10" width="2.7109375" style="4" hidden="1" customWidth="1" outlineLevel="1"/>
    <col min="11" max="11" width="17.28515625" style="4" hidden="1" customWidth="1" outlineLevel="1"/>
    <col min="12" max="12" width="2" style="4" hidden="1" customWidth="1" outlineLevel="1"/>
    <col min="13" max="13" width="11" style="4" hidden="1" customWidth="1" outlineLevel="1"/>
    <col min="14" max="14" width="21.42578125" style="2" hidden="1" customWidth="1" outlineLevel="1"/>
    <col min="15" max="15" width="24.140625" style="2" hidden="1" customWidth="1" outlineLevel="1"/>
    <col min="16" max="16" width="21.42578125" style="2" customWidth="1" collapsed="1"/>
    <col min="17" max="17" width="17.28515625" style="2" bestFit="1" customWidth="1"/>
    <col min="18" max="18" width="13.140625" style="2" bestFit="1" customWidth="1"/>
    <col min="19" max="19" width="6" style="2" bestFit="1" customWidth="1"/>
    <col min="20" max="20" width="12" style="2" bestFit="1" customWidth="1"/>
    <col min="21" max="21" width="13.140625" style="2" bestFit="1" customWidth="1"/>
    <col min="22" max="22" width="12" style="2" bestFit="1" customWidth="1"/>
    <col min="23" max="23" width="15.140625" style="2" bestFit="1" customWidth="1"/>
    <col min="24" max="71" width="27.28515625" style="2" customWidth="1"/>
    <col min="72" max="16384" width="2.85546875" style="2"/>
  </cols>
  <sheetData>
    <row r="1" spans="1:32" x14ac:dyDescent="0.2">
      <c r="A1" s="37"/>
      <c r="B1" s="34"/>
      <c r="C1" s="35" t="s">
        <v>52</v>
      </c>
      <c r="D1" s="36" t="s">
        <v>14</v>
      </c>
      <c r="E1" s="37"/>
      <c r="F1" s="37"/>
      <c r="G1" s="29"/>
      <c r="H1" s="37"/>
      <c r="I1" s="37"/>
      <c r="J1" s="37"/>
      <c r="K1" s="37"/>
      <c r="L1" s="37"/>
      <c r="M1" s="37"/>
    </row>
    <row r="2" spans="1:32" x14ac:dyDescent="0.2">
      <c r="C2" s="35" t="s">
        <v>53</v>
      </c>
      <c r="D2" s="36" t="str">
        <f>Currency&amp;CurveTenor</f>
        <v>USDON</v>
      </c>
      <c r="E2" s="37"/>
      <c r="F2" s="37"/>
      <c r="G2" s="29"/>
      <c r="H2" s="37"/>
      <c r="I2" s="37"/>
      <c r="K2" s="37"/>
    </row>
    <row r="3" spans="1:32" x14ac:dyDescent="0.2">
      <c r="C3" s="35" t="s">
        <v>45</v>
      </c>
      <c r="D3" s="16" t="s">
        <v>114</v>
      </c>
      <c r="E3" s="37"/>
      <c r="F3" s="37"/>
      <c r="G3" s="29"/>
      <c r="H3" s="37"/>
      <c r="I3" s="37"/>
      <c r="K3" s="37"/>
    </row>
    <row r="4" spans="1:32" x14ac:dyDescent="0.2">
      <c r="A4" s="37"/>
      <c r="B4" s="34"/>
      <c r="C4" s="37"/>
      <c r="D4" s="37"/>
      <c r="E4" s="37"/>
      <c r="F4" s="37"/>
      <c r="G4" s="29"/>
      <c r="H4" s="37"/>
      <c r="I4" s="37"/>
      <c r="J4" s="37"/>
      <c r="K4" s="37"/>
      <c r="L4" s="37"/>
    </row>
    <row r="5" spans="1:32" x14ac:dyDescent="0.2">
      <c r="A5" s="23"/>
      <c r="B5" s="10"/>
      <c r="C5" s="10" t="s">
        <v>37</v>
      </c>
      <c r="D5" s="10" t="s">
        <v>42</v>
      </c>
      <c r="E5" s="10" t="s">
        <v>49</v>
      </c>
      <c r="F5" s="10" t="s">
        <v>35</v>
      </c>
      <c r="G5" s="11" t="s">
        <v>34</v>
      </c>
      <c r="H5" s="11" t="s">
        <v>50</v>
      </c>
      <c r="I5" s="11" t="s">
        <v>51</v>
      </c>
      <c r="J5" s="23"/>
      <c r="K5" s="35" t="s">
        <v>38</v>
      </c>
      <c r="M5" s="64" t="s">
        <v>102</v>
      </c>
      <c r="N5" s="64" t="s">
        <v>103</v>
      </c>
    </row>
    <row r="6" spans="1:32" x14ac:dyDescent="0.2">
      <c r="A6" s="23"/>
      <c r="B6" s="45"/>
      <c r="C6" s="62"/>
      <c r="D6" s="63"/>
      <c r="E6" s="63"/>
      <c r="F6" s="63"/>
      <c r="G6" s="60"/>
      <c r="H6" s="60"/>
      <c r="I6" s="60"/>
      <c r="J6" s="51"/>
      <c r="K6" s="111"/>
      <c r="M6" s="65" t="s">
        <v>104</v>
      </c>
      <c r="N6" s="65" t="s">
        <v>99</v>
      </c>
    </row>
    <row r="7" spans="1:32" x14ac:dyDescent="0.2">
      <c r="A7" s="23"/>
      <c r="B7" s="46"/>
      <c r="C7" s="53"/>
      <c r="D7" s="54"/>
      <c r="E7" s="54"/>
      <c r="F7" s="54"/>
      <c r="G7" s="61"/>
      <c r="H7" s="61"/>
      <c r="I7" s="61"/>
      <c r="J7" s="51"/>
      <c r="K7" s="81"/>
      <c r="L7" s="34"/>
    </row>
    <row r="8" spans="1:32" x14ac:dyDescent="0.2">
      <c r="A8" s="23"/>
      <c r="B8" s="46"/>
      <c r="C8" s="53"/>
      <c r="D8" s="54"/>
      <c r="E8" s="54"/>
      <c r="F8" s="54"/>
      <c r="G8" s="61"/>
      <c r="H8" s="61"/>
      <c r="I8" s="61"/>
      <c r="J8" s="51"/>
      <c r="K8" s="81"/>
      <c r="L8" s="34"/>
    </row>
    <row r="9" spans="1:32" x14ac:dyDescent="0.2">
      <c r="A9" s="23"/>
      <c r="B9" s="46" t="s">
        <v>98</v>
      </c>
      <c r="C9" s="53" t="s">
        <v>38</v>
      </c>
      <c r="D9" s="166">
        <f t="shared" ref="D9:D23" si="0">EvaluationDate</f>
        <v>42255</v>
      </c>
      <c r="E9" s="166">
        <f>_xll.qlSwapStartDate(K9)</f>
        <v>42257</v>
      </c>
      <c r="F9" s="166">
        <f>_xll.qlSwapMaturityDate(K9)</f>
        <v>42264</v>
      </c>
      <c r="G9" s="167">
        <f>_xll.qlOvernightIndexedSwapFairRate(K9,AllTriggers)</f>
        <v>1.5000000001525696E-3</v>
      </c>
      <c r="H9" s="21" t="str">
        <f>Currency&amp;"_CURVE_OIS"&amp;"_"&amp;"1W"</f>
        <v>USD_CURVE_OIS_1W</v>
      </c>
      <c r="I9" s="21" t="s">
        <v>256</v>
      </c>
      <c r="J9" s="51"/>
      <c r="K9" s="52" t="str">
        <f>_xll.qlMakeOIS(,SettlementDays,IF(B9="SW","1W",B9),OvernightIndex,,FwdStart,DayCountConv,,,Trigger)</f>
        <v>obj_00378#0000</v>
      </c>
      <c r="L9" s="34"/>
      <c r="M9" s="37"/>
      <c r="N9" s="37"/>
      <c r="O9" s="37"/>
    </row>
    <row r="10" spans="1:32" x14ac:dyDescent="0.2">
      <c r="A10" s="23"/>
      <c r="B10" s="46" t="s">
        <v>15</v>
      </c>
      <c r="C10" s="53" t="s">
        <v>38</v>
      </c>
      <c r="D10" s="166">
        <f t="shared" si="0"/>
        <v>42255</v>
      </c>
      <c r="E10" s="166">
        <f>_xll.qlSwapStartDate(K10)</f>
        <v>42257</v>
      </c>
      <c r="F10" s="166">
        <f>_xll.qlSwapMaturityDate(K10)</f>
        <v>42271</v>
      </c>
      <c r="G10" s="167">
        <f>_xll.qlOvernightIndexedSwapFairRate(K10,AllTriggers)</f>
        <v>1.7100000024772299E-3</v>
      </c>
      <c r="H10" s="21" t="str">
        <f t="shared" ref="H10:H23" si="1">Currency&amp;"_CURVE_OIS"&amp;"_"&amp;B10</f>
        <v>USD_CURVE_OIS_2W</v>
      </c>
      <c r="I10" s="21" t="s">
        <v>257</v>
      </c>
      <c r="J10" s="51"/>
      <c r="K10" s="52" t="str">
        <f>_xll.qlMakeOIS(,SettlementDays,IF(B10="SW","1W",B10),OvernightIndex,,FwdStart,DayCountConv,,,Trigger)</f>
        <v>obj_0036a#0000</v>
      </c>
      <c r="L10" s="34"/>
      <c r="M10" s="37"/>
      <c r="N10" s="37"/>
      <c r="O10" s="37"/>
    </row>
    <row r="11" spans="1:32" x14ac:dyDescent="0.2">
      <c r="A11" s="23"/>
      <c r="B11" s="46" t="s">
        <v>71</v>
      </c>
      <c r="C11" s="53" t="s">
        <v>38</v>
      </c>
      <c r="D11" s="166">
        <f t="shared" si="0"/>
        <v>42255</v>
      </c>
      <c r="E11" s="166">
        <f>_xll.qlSwapStartDate(K11)</f>
        <v>42257</v>
      </c>
      <c r="F11" s="166">
        <f>_xll.qlSwapMaturityDate(K11)</f>
        <v>42278</v>
      </c>
      <c r="G11" s="167">
        <f>_xll.qlOvernightIndexedSwapFairRate(K11,AllTriggers)</f>
        <v>1.7799999948512177E-3</v>
      </c>
      <c r="H11" s="21" t="str">
        <f t="shared" si="1"/>
        <v>USD_CURVE_OIS_3W</v>
      </c>
      <c r="I11" s="21" t="s">
        <v>258</v>
      </c>
      <c r="J11" s="51"/>
      <c r="K11" s="52" t="str">
        <f>_xll.qlMakeOIS(,SettlementDays,IF(B11="SW","1W",B11),OvernightIndex,,FwdStart,DayCountConv,,,Trigger)</f>
        <v>obj_00370#0000</v>
      </c>
      <c r="L11" s="34"/>
      <c r="M11" s="37"/>
      <c r="N11" s="37"/>
      <c r="O11" s="37"/>
    </row>
    <row r="12" spans="1:32" x14ac:dyDescent="0.2">
      <c r="A12" s="23"/>
      <c r="B12" s="46" t="s">
        <v>16</v>
      </c>
      <c r="C12" s="53" t="s">
        <v>38</v>
      </c>
      <c r="D12" s="166">
        <f t="shared" si="0"/>
        <v>42255</v>
      </c>
      <c r="E12" s="166">
        <f>_xll.qlSwapStartDate(K12)</f>
        <v>42257</v>
      </c>
      <c r="F12" s="166">
        <f>_xll.qlSwapMaturityDate(K12)</f>
        <v>42290</v>
      </c>
      <c r="G12" s="167">
        <f>_xll.qlOvernightIndexedSwapFairRate(K12,AllTriggers)</f>
        <v>1.8099999972130058E-3</v>
      </c>
      <c r="H12" s="21" t="str">
        <f t="shared" si="1"/>
        <v>USD_CURVE_OIS_1M</v>
      </c>
      <c r="I12" s="21" t="s">
        <v>259</v>
      </c>
      <c r="J12" s="51"/>
      <c r="K12" s="52" t="str">
        <f>_xll.qlMakeOIS(,SettlementDays,IF(B12="SW","1W",B12),OvernightIndex,,FwdStart,DayCountConv,,,Trigger)</f>
        <v>obj_0036f#0000</v>
      </c>
      <c r="L12" s="34"/>
      <c r="M12" s="37"/>
      <c r="N12" s="37"/>
      <c r="O12" s="37"/>
    </row>
    <row r="13" spans="1:32" x14ac:dyDescent="0.2">
      <c r="A13" s="23"/>
      <c r="B13" s="46" t="s">
        <v>17</v>
      </c>
      <c r="C13" s="53" t="s">
        <v>38</v>
      </c>
      <c r="D13" s="166">
        <f t="shared" si="0"/>
        <v>42255</v>
      </c>
      <c r="E13" s="166">
        <f>_xll.qlSwapStartDate(K13)</f>
        <v>42257</v>
      </c>
      <c r="F13" s="166">
        <f>_xll.qlSwapMaturityDate(K13)</f>
        <v>42318</v>
      </c>
      <c r="G13" s="167">
        <f>_xll.qlOvernightIndexedSwapFairRate(K13,AllTriggers)</f>
        <v>1.9599999984686329E-3</v>
      </c>
      <c r="H13" s="21" t="str">
        <f t="shared" si="1"/>
        <v>USD_CURVE_OIS_2M</v>
      </c>
      <c r="I13" s="21" t="s">
        <v>260</v>
      </c>
      <c r="J13" s="51"/>
      <c r="K13" s="52" t="str">
        <f>_xll.qlMakeOIS(,SettlementDays,IF(B13="SW","1W",B13),OvernightIndex,,FwdStart,DayCountConv,,,Trigger)</f>
        <v>obj_00383#0000</v>
      </c>
      <c r="L13" s="23"/>
      <c r="M13" s="37"/>
      <c r="N13" s="37"/>
      <c r="O13" s="37"/>
    </row>
    <row r="14" spans="1:32" x14ac:dyDescent="0.2">
      <c r="A14" s="23"/>
      <c r="B14" s="46" t="s">
        <v>18</v>
      </c>
      <c r="C14" s="53" t="s">
        <v>38</v>
      </c>
      <c r="D14" s="166">
        <f t="shared" si="0"/>
        <v>42255</v>
      </c>
      <c r="E14" s="166">
        <f>_xll.qlSwapStartDate(K14)</f>
        <v>42257</v>
      </c>
      <c r="F14" s="166">
        <f>_xll.qlSwapMaturityDate(K14)</f>
        <v>42348</v>
      </c>
      <c r="G14" s="167">
        <f>_xll.qlOvernightIndexedSwapFairRate(K14,AllTriggers)</f>
        <v>2.1199999989775314E-3</v>
      </c>
      <c r="H14" s="21" t="str">
        <f t="shared" si="1"/>
        <v>USD_CURVE_OIS_3M</v>
      </c>
      <c r="I14" s="21" t="s">
        <v>261</v>
      </c>
      <c r="J14" s="51"/>
      <c r="K14" s="52" t="str">
        <f>_xll.qlMakeOIS(,SettlementDays,IF(B14="SW","1W",B14),OvernightIndex,,FwdStart,DayCountConv,,,Trigger)</f>
        <v>obj_00360#0000</v>
      </c>
      <c r="L14" s="23"/>
      <c r="M14" s="37"/>
      <c r="N14" s="37"/>
      <c r="O14" s="37"/>
    </row>
    <row r="15" spans="1:32" x14ac:dyDescent="0.2">
      <c r="A15" s="23"/>
      <c r="B15" s="46" t="s">
        <v>19</v>
      </c>
      <c r="C15" s="53" t="s">
        <v>38</v>
      </c>
      <c r="D15" s="166">
        <f t="shared" si="0"/>
        <v>42255</v>
      </c>
      <c r="E15" s="166">
        <f>_xll.qlSwapStartDate(K15)</f>
        <v>42257</v>
      </c>
      <c r="F15" s="166">
        <f>_xll.qlSwapMaturityDate(K15)</f>
        <v>42380</v>
      </c>
      <c r="G15" s="167">
        <f>_xll.qlOvernightIndexedSwapFairRate(K15,AllTriggers)</f>
        <v>2.3699999992420648E-3</v>
      </c>
      <c r="H15" s="21" t="str">
        <f t="shared" si="1"/>
        <v>USD_CURVE_OIS_4M</v>
      </c>
      <c r="I15" s="21" t="s">
        <v>262</v>
      </c>
      <c r="J15" s="51"/>
      <c r="K15" s="52" t="str">
        <f>_xll.qlMakeOIS(,SettlementDays,IF(B15="SW","1W",B15),OvernightIndex,,FwdStart,DayCountConv,,,Trigger)</f>
        <v>obj_0036b#0000</v>
      </c>
      <c r="L15" s="23"/>
      <c r="M15" s="37"/>
      <c r="N15" s="37"/>
      <c r="O15" s="37"/>
    </row>
    <row r="16" spans="1:32" x14ac:dyDescent="0.2">
      <c r="A16" s="23"/>
      <c r="B16" s="46" t="s">
        <v>20</v>
      </c>
      <c r="C16" s="53" t="s">
        <v>38</v>
      </c>
      <c r="D16" s="166">
        <f t="shared" si="0"/>
        <v>42255</v>
      </c>
      <c r="E16" s="166">
        <f>_xll.qlSwapStartDate(K16)</f>
        <v>42257</v>
      </c>
      <c r="F16" s="166">
        <f>_xll.qlSwapMaturityDate(K16)</f>
        <v>42410</v>
      </c>
      <c r="G16" s="167">
        <f>_xll.qlOvernightIndexedSwapFairRate(K16,AllTriggers)</f>
        <v>2.5499999993909318E-3</v>
      </c>
      <c r="H16" s="21" t="str">
        <f t="shared" si="1"/>
        <v>USD_CURVE_OIS_5M</v>
      </c>
      <c r="I16" s="21" t="s">
        <v>263</v>
      </c>
      <c r="J16" s="51"/>
      <c r="K16" s="52" t="str">
        <f>_xll.qlMakeOIS(,SettlementDays,IF(B16="SW","1W",B16),OvernightIndex,,FwdStart,DayCountConv,,,Trigger)</f>
        <v>obj_0037f#0000</v>
      </c>
      <c r="L16" s="23"/>
      <c r="M16" s="37"/>
      <c r="N16" s="34"/>
      <c r="O16" s="37"/>
      <c r="R16" s="69"/>
      <c r="S16" s="69"/>
      <c r="T16" s="69"/>
      <c r="U16" s="69"/>
      <c r="V16" s="69"/>
      <c r="W16" s="69"/>
      <c r="X16" s="69"/>
      <c r="Y16" s="69"/>
      <c r="Z16" s="69"/>
      <c r="AA16" s="69"/>
      <c r="AB16" s="69"/>
      <c r="AC16" s="69"/>
      <c r="AD16" s="69"/>
      <c r="AE16" s="69"/>
      <c r="AF16" s="69"/>
    </row>
    <row r="17" spans="1:42" x14ac:dyDescent="0.2">
      <c r="A17" s="23"/>
      <c r="B17" s="46" t="s">
        <v>13</v>
      </c>
      <c r="C17" s="53" t="s">
        <v>38</v>
      </c>
      <c r="D17" s="166">
        <f t="shared" si="0"/>
        <v>42255</v>
      </c>
      <c r="E17" s="166">
        <f>_xll.qlSwapStartDate(K17)</f>
        <v>42257</v>
      </c>
      <c r="F17" s="166">
        <f>_xll.qlSwapMaturityDate(K17)</f>
        <v>42439</v>
      </c>
      <c r="G17" s="167">
        <f>_xll.qlOvernightIndexedSwapFairRate(K17,AllTriggers)</f>
        <v>2.6999999994875628E-3</v>
      </c>
      <c r="H17" s="21" t="str">
        <f t="shared" si="1"/>
        <v>USD_CURVE_OIS_6M</v>
      </c>
      <c r="I17" s="21" t="s">
        <v>264</v>
      </c>
      <c r="J17" s="51"/>
      <c r="K17" s="52" t="str">
        <f>_xll.qlMakeOIS(,SettlementDays,IF(B17="SW","1W",B17),OvernightIndex,,FwdStart,DayCountConv,,,Trigger)</f>
        <v>obj_00376#0000</v>
      </c>
      <c r="L17" s="23"/>
      <c r="M17" s="37"/>
      <c r="N17" s="34"/>
      <c r="O17" s="37"/>
      <c r="R17" s="72"/>
      <c r="S17" s="73"/>
      <c r="T17" s="72"/>
      <c r="U17" s="70"/>
      <c r="V17" s="72"/>
      <c r="W17" s="158"/>
      <c r="X17" s="159"/>
      <c r="Y17" s="159"/>
      <c r="Z17" s="160"/>
      <c r="AA17" s="159"/>
      <c r="AB17" s="159"/>
      <c r="AC17" s="159"/>
      <c r="AD17" s="159"/>
      <c r="AE17" s="159"/>
      <c r="AF17" s="73"/>
      <c r="AG17" s="68"/>
      <c r="AH17" s="68"/>
      <c r="AI17" s="68"/>
      <c r="AJ17" s="68"/>
      <c r="AK17" s="68"/>
      <c r="AL17" s="68"/>
      <c r="AM17" s="68"/>
      <c r="AN17" s="68"/>
      <c r="AO17" s="68"/>
      <c r="AP17" s="68"/>
    </row>
    <row r="18" spans="1:42" x14ac:dyDescent="0.2">
      <c r="A18" s="23"/>
      <c r="B18" s="46" t="s">
        <v>65</v>
      </c>
      <c r="C18" s="53" t="s">
        <v>38</v>
      </c>
      <c r="D18" s="166">
        <f t="shared" si="0"/>
        <v>42255</v>
      </c>
      <c r="E18" s="166">
        <f>_xll.qlSwapStartDate(K18)</f>
        <v>42257</v>
      </c>
      <c r="F18" s="166">
        <f>_xll.qlSwapMaturityDate(K18)</f>
        <v>42471</v>
      </c>
      <c r="G18" s="167">
        <f>_xll.qlOvernightIndexedSwapFairRate(K18,AllTriggers)</f>
        <v>2.9099999995640638E-3</v>
      </c>
      <c r="H18" s="21" t="str">
        <f t="shared" si="1"/>
        <v>USD_CURVE_OIS_7M</v>
      </c>
      <c r="I18" s="21" t="s">
        <v>265</v>
      </c>
      <c r="J18" s="51"/>
      <c r="K18" s="52" t="str">
        <f>_xll.qlMakeOIS(,SettlementDays,IF(B18="SW","1W",B18),OvernightIndex,,FwdStart,DayCountConv,,,Trigger)</f>
        <v>obj_00352#0000</v>
      </c>
      <c r="L18" s="34"/>
      <c r="M18" s="37"/>
      <c r="N18" s="34"/>
      <c r="O18" s="37"/>
      <c r="R18" s="72"/>
      <c r="S18" s="73"/>
      <c r="T18" s="72"/>
      <c r="U18" s="70"/>
      <c r="V18" s="72"/>
      <c r="W18" s="158"/>
      <c r="X18" s="159"/>
      <c r="Y18" s="159"/>
      <c r="Z18" s="160"/>
      <c r="AA18" s="159"/>
      <c r="AB18" s="159"/>
      <c r="AC18" s="159"/>
      <c r="AD18" s="159"/>
      <c r="AE18" s="159"/>
      <c r="AF18" s="73"/>
      <c r="AG18" s="68"/>
      <c r="AH18" s="68"/>
      <c r="AI18" s="68"/>
      <c r="AJ18" s="68"/>
      <c r="AK18" s="68"/>
      <c r="AL18" s="68"/>
      <c r="AM18" s="68"/>
      <c r="AN18" s="68"/>
      <c r="AO18" s="68"/>
      <c r="AP18" s="68"/>
    </row>
    <row r="19" spans="1:42" x14ac:dyDescent="0.2">
      <c r="A19" s="23"/>
      <c r="B19" s="46" t="s">
        <v>66</v>
      </c>
      <c r="C19" s="53" t="s">
        <v>38</v>
      </c>
      <c r="D19" s="166">
        <f t="shared" si="0"/>
        <v>42255</v>
      </c>
      <c r="E19" s="166">
        <f>_xll.qlSwapStartDate(K19)</f>
        <v>42257</v>
      </c>
      <c r="F19" s="166">
        <f>_xll.qlSwapMaturityDate(K19)</f>
        <v>42500</v>
      </c>
      <c r="G19" s="167">
        <f>_xll.qlOvernightIndexedSwapFairRate(K19,AllTriggers)</f>
        <v>3.089999999615776E-3</v>
      </c>
      <c r="H19" s="21" t="str">
        <f t="shared" si="1"/>
        <v>USD_CURVE_OIS_8M</v>
      </c>
      <c r="I19" s="21" t="s">
        <v>266</v>
      </c>
      <c r="J19" s="51"/>
      <c r="K19" s="52" t="str">
        <f>_xll.qlMakeOIS(,SettlementDays,IF(B19="SW","1W",B19),OvernightIndex,,FwdStart,DayCountConv,,,Trigger)</f>
        <v>obj_0035a#0000</v>
      </c>
      <c r="L19" s="34"/>
      <c r="M19" s="37"/>
      <c r="N19" s="34"/>
      <c r="O19" s="37"/>
      <c r="R19" s="72"/>
      <c r="S19" s="73"/>
      <c r="T19" s="72"/>
      <c r="U19" s="70"/>
      <c r="V19" s="72"/>
      <c r="W19" s="158"/>
      <c r="X19" s="159"/>
      <c r="Y19" s="159"/>
      <c r="Z19" s="160"/>
      <c r="AA19" s="159"/>
      <c r="AB19" s="159"/>
      <c r="AC19" s="159"/>
      <c r="AD19" s="159"/>
      <c r="AE19" s="159"/>
      <c r="AF19" s="73"/>
      <c r="AG19" s="68"/>
      <c r="AH19" s="68"/>
      <c r="AI19" s="68"/>
      <c r="AJ19" s="68"/>
      <c r="AK19" s="68"/>
      <c r="AL19" s="68"/>
      <c r="AM19" s="68"/>
      <c r="AN19" s="68"/>
      <c r="AO19" s="68"/>
      <c r="AP19" s="68"/>
    </row>
    <row r="20" spans="1:42" x14ac:dyDescent="0.2">
      <c r="A20" s="23"/>
      <c r="B20" s="46" t="s">
        <v>21</v>
      </c>
      <c r="C20" s="53" t="s">
        <v>38</v>
      </c>
      <c r="D20" s="166">
        <f t="shared" si="0"/>
        <v>42255</v>
      </c>
      <c r="E20" s="166">
        <f>_xll.qlSwapStartDate(K20)</f>
        <v>42257</v>
      </c>
      <c r="F20" s="166">
        <f>_xll.qlSwapMaturityDate(K20)</f>
        <v>42531</v>
      </c>
      <c r="G20" s="167">
        <f>_xll.qlOvernightIndexedSwapFairRate(K20,AllTriggers)</f>
        <v>3.2699999996591727E-3</v>
      </c>
      <c r="H20" s="21" t="str">
        <f t="shared" si="1"/>
        <v>USD_CURVE_OIS_9M</v>
      </c>
      <c r="I20" s="21" t="s">
        <v>267</v>
      </c>
      <c r="J20" s="51"/>
      <c r="K20" s="52" t="str">
        <f>_xll.qlMakeOIS(,SettlementDays,IF(B20="SW","1W",B20),OvernightIndex,,FwdStart,DayCountConv,,,Trigger)</f>
        <v>obj_00381#0000</v>
      </c>
      <c r="L20" s="34"/>
      <c r="M20" s="37"/>
      <c r="N20" s="34"/>
      <c r="O20" s="37"/>
      <c r="R20" s="72"/>
      <c r="S20" s="73"/>
      <c r="T20" s="72"/>
      <c r="U20" s="70"/>
      <c r="V20" s="72"/>
      <c r="W20" s="158"/>
      <c r="X20" s="159"/>
      <c r="Y20" s="159"/>
      <c r="Z20" s="160"/>
      <c r="AA20" s="159"/>
      <c r="AB20" s="159"/>
      <c r="AC20" s="159"/>
      <c r="AD20" s="159"/>
      <c r="AE20" s="159"/>
      <c r="AF20" s="73"/>
      <c r="AG20" s="68"/>
      <c r="AH20" s="68"/>
      <c r="AI20" s="68"/>
      <c r="AJ20" s="68"/>
      <c r="AK20" s="68"/>
      <c r="AL20" s="68"/>
      <c r="AM20" s="68"/>
      <c r="AN20" s="68"/>
      <c r="AO20" s="68"/>
      <c r="AP20" s="68"/>
    </row>
    <row r="21" spans="1:42" x14ac:dyDescent="0.2">
      <c r="A21" s="23"/>
      <c r="B21" s="46" t="s">
        <v>67</v>
      </c>
      <c r="C21" s="53" t="s">
        <v>38</v>
      </c>
      <c r="D21" s="166">
        <f t="shared" si="0"/>
        <v>42255</v>
      </c>
      <c r="E21" s="166">
        <f>_xll.qlSwapStartDate(K21)</f>
        <v>42257</v>
      </c>
      <c r="F21" s="166">
        <f>_xll.qlSwapMaturityDate(K21)</f>
        <v>42562</v>
      </c>
      <c r="G21" s="167">
        <f>_xll.qlOvernightIndexedSwapFairRate(K21,AllTriggers)</f>
        <v>3.4799999996936184E-3</v>
      </c>
      <c r="H21" s="21" t="str">
        <f t="shared" si="1"/>
        <v>USD_CURVE_OIS_10M</v>
      </c>
      <c r="I21" s="21" t="s">
        <v>268</v>
      </c>
      <c r="J21" s="51"/>
      <c r="K21" s="52" t="str">
        <f>_xll.qlMakeOIS(,SettlementDays,IF(B21="SW","1W",B21),OvernightIndex,,FwdStart,DayCountConv,,,Trigger)</f>
        <v>obj_0036c#0000</v>
      </c>
      <c r="L21" s="34"/>
      <c r="M21" s="37"/>
      <c r="N21" s="34"/>
      <c r="O21" s="34"/>
      <c r="R21" s="72"/>
      <c r="S21" s="73"/>
      <c r="T21" s="72"/>
      <c r="U21" s="70"/>
      <c r="V21" s="72"/>
      <c r="W21" s="158"/>
      <c r="X21" s="159"/>
      <c r="Y21" s="159"/>
      <c r="Z21" s="160"/>
      <c r="AA21" s="159"/>
      <c r="AB21" s="159"/>
      <c r="AC21" s="159"/>
      <c r="AD21" s="159"/>
      <c r="AE21" s="159"/>
      <c r="AF21" s="73"/>
      <c r="AG21" s="68"/>
      <c r="AH21" s="68"/>
      <c r="AI21" s="68"/>
      <c r="AJ21" s="68"/>
      <c r="AK21" s="68"/>
      <c r="AL21" s="68"/>
      <c r="AM21" s="68"/>
      <c r="AN21" s="68"/>
      <c r="AO21" s="68"/>
      <c r="AP21" s="68"/>
    </row>
    <row r="22" spans="1:42" x14ac:dyDescent="0.2">
      <c r="A22" s="23"/>
      <c r="B22" s="46" t="s">
        <v>68</v>
      </c>
      <c r="C22" s="53" t="s">
        <v>38</v>
      </c>
      <c r="D22" s="166">
        <f t="shared" si="0"/>
        <v>42255</v>
      </c>
      <c r="E22" s="166">
        <f>_xll.qlSwapStartDate(K22)</f>
        <v>42257</v>
      </c>
      <c r="F22" s="166">
        <f>_xll.qlSwapMaturityDate(K22)</f>
        <v>42592</v>
      </c>
      <c r="G22" s="167">
        <f>_xll.qlOvernightIndexedSwapFairRate(K22,AllTriggers)</f>
        <v>3.6799999997210674E-3</v>
      </c>
      <c r="H22" s="21" t="str">
        <f t="shared" si="1"/>
        <v>USD_CURVE_OIS_11M</v>
      </c>
      <c r="I22" s="21" t="s">
        <v>269</v>
      </c>
      <c r="J22" s="51"/>
      <c r="K22" s="52" t="str">
        <f>_xll.qlMakeOIS(,SettlementDays,IF(B22="SW","1W",B22),OvernightIndex,,FwdStart,DayCountConv,,,Trigger)</f>
        <v>obj_0035d#0000</v>
      </c>
      <c r="L22" s="34"/>
      <c r="M22" s="37"/>
      <c r="N22" s="34"/>
      <c r="O22" s="34"/>
      <c r="R22" s="72"/>
      <c r="S22" s="73"/>
      <c r="T22" s="72"/>
      <c r="U22" s="70"/>
      <c r="V22" s="72"/>
      <c r="W22" s="158"/>
      <c r="X22" s="159"/>
      <c r="Y22" s="159"/>
      <c r="Z22" s="160"/>
      <c r="AA22" s="159"/>
      <c r="AB22" s="159"/>
      <c r="AC22" s="159"/>
      <c r="AD22" s="159"/>
      <c r="AE22" s="159"/>
      <c r="AF22" s="73"/>
      <c r="AG22" s="68"/>
      <c r="AH22" s="68"/>
      <c r="AI22" s="68"/>
      <c r="AJ22" s="68"/>
      <c r="AK22" s="68"/>
      <c r="AL22" s="68"/>
      <c r="AM22" s="68"/>
      <c r="AN22" s="68"/>
      <c r="AO22" s="68"/>
      <c r="AP22" s="68"/>
    </row>
    <row r="23" spans="1:42" x14ac:dyDescent="0.2">
      <c r="A23" s="23"/>
      <c r="B23" s="46" t="s">
        <v>22</v>
      </c>
      <c r="C23" s="53" t="s">
        <v>38</v>
      </c>
      <c r="D23" s="166">
        <f t="shared" si="0"/>
        <v>42255</v>
      </c>
      <c r="E23" s="166">
        <f>_xll.qlSwapStartDate(K23)</f>
        <v>42257</v>
      </c>
      <c r="F23" s="166">
        <f>_xll.qlSwapMaturityDate(K23)</f>
        <v>42625</v>
      </c>
      <c r="G23" s="167">
        <f>_xll.qlOvernightIndexedSwapFairRate(K23,AllTriggers)</f>
        <v>3.8999999997459908E-3</v>
      </c>
      <c r="H23" s="21" t="str">
        <f t="shared" si="1"/>
        <v>USD_CURVE_OIS_1Y</v>
      </c>
      <c r="I23" s="21" t="s">
        <v>270</v>
      </c>
      <c r="J23" s="51"/>
      <c r="K23" s="52" t="str">
        <f>_xll.qlMakeOIS(,SettlementDays,IF(B23="SW","1W",B23),OvernightIndex,,FwdStart,DayCountConv,,,Trigger)</f>
        <v>obj_00366#0000</v>
      </c>
      <c r="L23" s="34"/>
      <c r="M23" s="34"/>
      <c r="N23" s="34"/>
      <c r="O23" s="34"/>
      <c r="R23" s="72"/>
      <c r="S23" s="73"/>
      <c r="T23" s="72"/>
      <c r="U23" s="70"/>
      <c r="V23" s="72"/>
      <c r="W23" s="158"/>
      <c r="X23" s="159"/>
      <c r="Y23" s="159"/>
      <c r="Z23" s="160"/>
      <c r="AA23" s="159"/>
      <c r="AB23" s="159"/>
      <c r="AC23" s="159"/>
      <c r="AD23" s="159"/>
      <c r="AE23" s="159"/>
      <c r="AF23" s="73"/>
      <c r="AG23" s="68"/>
      <c r="AH23" s="68"/>
      <c r="AI23" s="68"/>
      <c r="AJ23" s="68"/>
      <c r="AK23" s="68"/>
      <c r="AL23" s="68"/>
      <c r="AM23" s="68"/>
      <c r="AN23" s="68"/>
      <c r="AO23" s="68"/>
      <c r="AP23" s="68"/>
    </row>
    <row r="24" spans="1:42" x14ac:dyDescent="0.2">
      <c r="A24" s="23"/>
      <c r="B24" s="170"/>
      <c r="C24" s="171"/>
      <c r="D24" s="180"/>
      <c r="E24" s="180"/>
      <c r="F24" s="180"/>
      <c r="G24" s="181"/>
      <c r="H24" s="182"/>
      <c r="I24" s="182"/>
      <c r="J24" s="51"/>
      <c r="K24" s="52"/>
      <c r="L24" s="34"/>
      <c r="M24" s="34"/>
      <c r="N24" s="34"/>
      <c r="O24" s="34"/>
      <c r="R24" s="72"/>
      <c r="S24" s="73"/>
      <c r="T24" s="72"/>
      <c r="U24" s="70"/>
      <c r="V24" s="72"/>
      <c r="W24" s="158"/>
      <c r="X24" s="159"/>
      <c r="Y24" s="159"/>
      <c r="Z24" s="160"/>
      <c r="AA24" s="159"/>
      <c r="AB24" s="159"/>
      <c r="AC24" s="159"/>
      <c r="AD24" s="159"/>
      <c r="AE24" s="159"/>
      <c r="AF24" s="73"/>
      <c r="AG24" s="68"/>
      <c r="AH24" s="68"/>
      <c r="AI24" s="68"/>
      <c r="AJ24" s="68"/>
      <c r="AK24" s="68"/>
      <c r="AL24" s="68"/>
      <c r="AM24" s="68"/>
      <c r="AN24" s="68"/>
      <c r="AO24" s="68"/>
      <c r="AP24" s="68"/>
    </row>
    <row r="25" spans="1:42" x14ac:dyDescent="0.2">
      <c r="A25" s="23"/>
      <c r="B25" s="106"/>
      <c r="C25" s="101"/>
      <c r="D25" s="101"/>
      <c r="E25" s="101"/>
      <c r="F25" s="101"/>
      <c r="G25" s="107"/>
      <c r="H25" s="101"/>
      <c r="I25" s="101"/>
      <c r="J25" s="51"/>
      <c r="K25" s="52"/>
      <c r="L25" s="34"/>
      <c r="M25" s="34"/>
    </row>
    <row r="26" spans="1:42" x14ac:dyDescent="0.2">
      <c r="A26" s="23"/>
      <c r="B26" s="102"/>
      <c r="C26" s="103"/>
      <c r="D26" s="103"/>
      <c r="E26" s="103"/>
      <c r="F26" s="103"/>
      <c r="G26" s="108"/>
      <c r="H26" s="103"/>
      <c r="I26" s="103"/>
      <c r="J26" s="51"/>
      <c r="K26" s="52"/>
      <c r="L26" s="34"/>
      <c r="M26" s="34"/>
    </row>
    <row r="27" spans="1:42" x14ac:dyDescent="0.2">
      <c r="A27" s="23"/>
      <c r="B27" s="102"/>
      <c r="C27" s="103"/>
      <c r="D27" s="103"/>
      <c r="E27" s="103"/>
      <c r="F27" s="103"/>
      <c r="G27" s="108"/>
      <c r="H27" s="103"/>
      <c r="I27" s="103"/>
      <c r="J27" s="51"/>
      <c r="K27" s="52"/>
      <c r="L27" s="34"/>
      <c r="M27" s="34"/>
    </row>
    <row r="28" spans="1:42" x14ac:dyDescent="0.2">
      <c r="A28" s="23"/>
      <c r="B28" s="102"/>
      <c r="C28" s="103"/>
      <c r="D28" s="103"/>
      <c r="E28" s="103"/>
      <c r="F28" s="103"/>
      <c r="G28" s="108"/>
      <c r="H28" s="103"/>
      <c r="I28" s="103"/>
      <c r="J28" s="51"/>
      <c r="K28" s="52"/>
      <c r="L28" s="34"/>
      <c r="M28" s="34"/>
    </row>
    <row r="29" spans="1:42" x14ac:dyDescent="0.2">
      <c r="A29" s="23"/>
      <c r="B29" s="102"/>
      <c r="C29" s="103"/>
      <c r="D29" s="103"/>
      <c r="E29" s="103"/>
      <c r="F29" s="103"/>
      <c r="G29" s="108"/>
      <c r="H29" s="103"/>
      <c r="I29" s="103"/>
      <c r="J29" s="51"/>
      <c r="K29" s="52"/>
      <c r="L29" s="34"/>
      <c r="M29" s="34"/>
    </row>
    <row r="30" spans="1:42" x14ac:dyDescent="0.2">
      <c r="A30" s="23"/>
      <c r="B30" s="102"/>
      <c r="C30" s="103"/>
      <c r="D30" s="103"/>
      <c r="E30" s="103"/>
      <c r="F30" s="103"/>
      <c r="G30" s="108"/>
      <c r="H30" s="103"/>
      <c r="I30" s="103"/>
      <c r="J30" s="51"/>
      <c r="K30" s="52"/>
      <c r="L30" s="34"/>
      <c r="M30" s="34"/>
    </row>
    <row r="31" spans="1:42" x14ac:dyDescent="0.2">
      <c r="A31" s="37"/>
      <c r="B31" s="102"/>
      <c r="C31" s="103"/>
      <c r="D31" s="103"/>
      <c r="E31" s="103"/>
      <c r="F31" s="103"/>
      <c r="G31" s="108"/>
      <c r="H31" s="103"/>
      <c r="I31" s="103"/>
      <c r="J31" s="51"/>
      <c r="K31" s="52"/>
      <c r="L31" s="34"/>
      <c r="M31" s="34"/>
    </row>
    <row r="32" spans="1:42" x14ac:dyDescent="0.2">
      <c r="A32" s="37"/>
      <c r="B32" s="104"/>
      <c r="C32" s="105"/>
      <c r="D32" s="105"/>
      <c r="E32" s="105"/>
      <c r="F32" s="105"/>
      <c r="G32" s="109"/>
      <c r="H32" s="105"/>
      <c r="I32" s="105"/>
      <c r="J32" s="51"/>
      <c r="K32" s="52"/>
    </row>
    <row r="33" spans="2:16" s="2" customFormat="1" x14ac:dyDescent="0.2">
      <c r="B33" s="184"/>
      <c r="C33" s="185"/>
      <c r="D33" s="186"/>
      <c r="E33" s="186"/>
      <c r="F33" s="186"/>
      <c r="G33" s="187"/>
      <c r="H33" s="187"/>
      <c r="I33" s="187"/>
      <c r="J33" s="188"/>
      <c r="K33" s="52"/>
      <c r="L33" s="4"/>
      <c r="O33" s="71"/>
      <c r="P33" s="70"/>
    </row>
    <row r="34" spans="2:16" s="2" customFormat="1" x14ac:dyDescent="0.2">
      <c r="B34" s="46" t="s">
        <v>118</v>
      </c>
      <c r="C34" s="53" t="s">
        <v>38</v>
      </c>
      <c r="D34" s="54">
        <f t="shared" ref="D34:D68" si="2">EvaluationDate</f>
        <v>42255</v>
      </c>
      <c r="E34" s="54">
        <f>_xll.qlSwapStartDate(K34)</f>
        <v>42257</v>
      </c>
      <c r="F34" s="54">
        <f>_xll.qlSwapMaturityDate(K34)</f>
        <v>42716</v>
      </c>
      <c r="G34" s="61">
        <f>_xll.qlOvernightIndexedSwapFairRate(K34,AllTriggers)</f>
        <v>4.5299999997962118E-3</v>
      </c>
      <c r="H34" s="61" t="str">
        <f t="shared" ref="H34:H61" si="3">Currency&amp;"_CURVE_OIS"&amp;"_"&amp;B34</f>
        <v>USD_CURVE_OIS_15M</v>
      </c>
      <c r="I34" s="61" t="s">
        <v>271</v>
      </c>
      <c r="J34" s="51"/>
      <c r="K34" s="52" t="str">
        <f>_xll.qlMakeOIS(,SettlementDays,IF(B34="SW","1W",B34),OvernightIndex,,FwdStart,DayCountConv,,,Trigger)</f>
        <v>obj_00359#0000</v>
      </c>
      <c r="L34" s="4"/>
      <c r="M34" s="70"/>
      <c r="N34" s="71"/>
      <c r="O34" s="71"/>
      <c r="P34" s="70"/>
    </row>
    <row r="35" spans="2:16" s="2" customFormat="1" x14ac:dyDescent="0.2">
      <c r="B35" s="46" t="s">
        <v>119</v>
      </c>
      <c r="C35" s="53" t="s">
        <v>38</v>
      </c>
      <c r="D35" s="54">
        <f t="shared" si="2"/>
        <v>42255</v>
      </c>
      <c r="E35" s="54">
        <f>_xll.qlSwapStartDate(K35)</f>
        <v>42257</v>
      </c>
      <c r="F35" s="54">
        <f>_xll.qlSwapMaturityDate(K35)</f>
        <v>42804</v>
      </c>
      <c r="G35" s="61">
        <f>_xll.qlOvernightIndexedSwapFairRate(K35,AllTriggers)</f>
        <v>5.2099999999999421E-3</v>
      </c>
      <c r="H35" s="61" t="str">
        <f t="shared" si="3"/>
        <v>USD_CURVE_OIS_18M</v>
      </c>
      <c r="I35" s="61" t="s">
        <v>272</v>
      </c>
      <c r="J35" s="51"/>
      <c r="K35" s="52" t="str">
        <f>_xll.qlMakeOIS(,SettlementDays,IF(B35="SW","1W",B35),OvernightIndex,,FwdStart,DayCountConv,,,Trigger)</f>
        <v>obj_00365#0000</v>
      </c>
      <c r="L35" s="4"/>
      <c r="M35" s="66"/>
      <c r="N35" s="67"/>
      <c r="O35" s="67"/>
      <c r="P35" s="66"/>
    </row>
    <row r="36" spans="2:16" s="2" customFormat="1" x14ac:dyDescent="0.2">
      <c r="B36" s="46" t="s">
        <v>120</v>
      </c>
      <c r="C36" s="53" t="s">
        <v>38</v>
      </c>
      <c r="D36" s="54">
        <f t="shared" si="2"/>
        <v>42255</v>
      </c>
      <c r="E36" s="54">
        <f>_xll.qlSwapStartDate(K36)</f>
        <v>42257</v>
      </c>
      <c r="F36" s="54">
        <f>_xll.qlSwapMaturityDate(K36)</f>
        <v>42898</v>
      </c>
      <c r="G36" s="61">
        <f>_xll.qlOvernightIndexedSwapFairRate(K36,AllTriggers)</f>
        <v>5.9400000000000234E-3</v>
      </c>
      <c r="H36" s="61" t="str">
        <f t="shared" si="3"/>
        <v>USD_CURVE_OIS_21M</v>
      </c>
      <c r="I36" s="61" t="s">
        <v>273</v>
      </c>
      <c r="J36" s="51"/>
      <c r="K36" s="52" t="str">
        <f>_xll.qlMakeOIS(,SettlementDays,IF(B36="SW","1W",B36),OvernightIndex,,FwdStart,DayCountConv,,,Trigger)</f>
        <v>obj_00351#0000</v>
      </c>
      <c r="L36" s="4"/>
      <c r="M36" s="4"/>
      <c r="N36" s="4"/>
      <c r="O36" s="4"/>
      <c r="P36" s="4"/>
    </row>
    <row r="37" spans="2:16" s="2" customFormat="1" x14ac:dyDescent="0.2">
      <c r="B37" s="46" t="s">
        <v>23</v>
      </c>
      <c r="C37" s="53" t="s">
        <v>38</v>
      </c>
      <c r="D37" s="54">
        <f t="shared" si="2"/>
        <v>42255</v>
      </c>
      <c r="E37" s="54">
        <f>_xll.qlSwapStartDate(K37)</f>
        <v>42257</v>
      </c>
      <c r="F37" s="54">
        <f>_xll.qlSwapMaturityDate(K37)</f>
        <v>42989</v>
      </c>
      <c r="G37" s="61">
        <f>_xll.qlOvernightIndexedSwapFairRate(K37,AllTriggers)</f>
        <v>6.6400000000000712E-3</v>
      </c>
      <c r="H37" s="28" t="str">
        <f t="shared" si="3"/>
        <v>USD_CURVE_OIS_2Y</v>
      </c>
      <c r="I37" s="61" t="s">
        <v>274</v>
      </c>
      <c r="J37" s="51"/>
      <c r="K37" s="52" t="str">
        <f>_xll.qlMakeOIS(,SettlementDays,IF(B37="SW","1W",B37),OvernightIndex,,FwdStart,DayCountConv,,,Trigger)</f>
        <v>obj_00357#0000</v>
      </c>
      <c r="L37" s="4"/>
      <c r="M37" s="4"/>
      <c r="N37" s="4"/>
      <c r="O37" s="4"/>
      <c r="P37" s="4"/>
    </row>
    <row r="38" spans="2:16" s="2" customFormat="1" x14ac:dyDescent="0.2">
      <c r="B38" s="46" t="s">
        <v>24</v>
      </c>
      <c r="C38" s="53" t="s">
        <v>38</v>
      </c>
      <c r="D38" s="54">
        <f t="shared" si="2"/>
        <v>42255</v>
      </c>
      <c r="E38" s="54">
        <f>_xll.qlSwapStartDate(K38)</f>
        <v>42257</v>
      </c>
      <c r="F38" s="54">
        <f>_xll.qlSwapMaturityDate(K38)</f>
        <v>43353</v>
      </c>
      <c r="G38" s="61">
        <f>_xll.qlOvernightIndexedSwapFairRate(K38,AllTriggers)</f>
        <v>9.219999999999855E-3</v>
      </c>
      <c r="H38" s="28" t="str">
        <f t="shared" si="3"/>
        <v>USD_CURVE_OIS_3Y</v>
      </c>
      <c r="I38" s="61" t="s">
        <v>275</v>
      </c>
      <c r="J38" s="51"/>
      <c r="K38" s="52" t="str">
        <f>_xll.qlMakeOIS(,SettlementDays,IF(B38="SW","1W",B38),OvernightIndex,,FwdStart,DayCountConv,,,Trigger)</f>
        <v>obj_0035e#0000</v>
      </c>
      <c r="L38" s="4"/>
      <c r="M38" s="4"/>
      <c r="N38" s="4"/>
      <c r="O38" s="4"/>
      <c r="P38" s="4"/>
    </row>
    <row r="39" spans="2:16" s="2" customFormat="1" x14ac:dyDescent="0.2">
      <c r="B39" s="46" t="s">
        <v>25</v>
      </c>
      <c r="C39" s="53" t="s">
        <v>38</v>
      </c>
      <c r="D39" s="54">
        <f t="shared" si="2"/>
        <v>42255</v>
      </c>
      <c r="E39" s="54">
        <f>_xll.qlSwapStartDate(K39)</f>
        <v>42257</v>
      </c>
      <c r="F39" s="54">
        <f>_xll.qlSwapMaturityDate(K39)</f>
        <v>43718</v>
      </c>
      <c r="G39" s="61">
        <f>_xll.qlOvernightIndexedSwapFairRate(K39,AllTriggers)</f>
        <v>1.1499999999999903E-2</v>
      </c>
      <c r="H39" s="28" t="str">
        <f t="shared" si="3"/>
        <v>USD_CURVE_OIS_4Y</v>
      </c>
      <c r="I39" s="61" t="s">
        <v>276</v>
      </c>
      <c r="J39" s="51"/>
      <c r="K39" s="52" t="str">
        <f>_xll.qlMakeOIS(,SettlementDays,IF(B39="SW","1W",B39),OvernightIndex,,FwdStart,DayCountConv,,,Trigger)</f>
        <v>obj_00354#0000</v>
      </c>
      <c r="L39" s="4"/>
      <c r="M39" s="4"/>
      <c r="N39" s="4"/>
      <c r="O39" s="4"/>
      <c r="P39" s="4"/>
    </row>
    <row r="40" spans="2:16" s="2" customFormat="1" x14ac:dyDescent="0.2">
      <c r="B40" s="46" t="s">
        <v>26</v>
      </c>
      <c r="C40" s="53" t="s">
        <v>38</v>
      </c>
      <c r="D40" s="54">
        <f t="shared" si="2"/>
        <v>42255</v>
      </c>
      <c r="E40" s="54">
        <f>_xll.qlSwapStartDate(K40)</f>
        <v>42257</v>
      </c>
      <c r="F40" s="54">
        <f>_xll.qlSwapMaturityDate(K40)</f>
        <v>44084</v>
      </c>
      <c r="G40" s="61">
        <f>_xll.qlOvernightIndexedSwapFairRate(K40,AllTriggers)</f>
        <v>1.3529999999999716E-2</v>
      </c>
      <c r="H40" s="28" t="str">
        <f t="shared" si="3"/>
        <v>USD_CURVE_OIS_5Y</v>
      </c>
      <c r="I40" s="61" t="s">
        <v>277</v>
      </c>
      <c r="J40" s="51"/>
      <c r="K40" s="52" t="str">
        <f>_xll.qlMakeOIS(,SettlementDays,IF(B40="SW","1W",B40),OvernightIndex,,FwdStart,DayCountConv,,,Trigger)</f>
        <v>obj_00355#0000</v>
      </c>
      <c r="L40" s="4"/>
      <c r="M40" s="4"/>
      <c r="N40" s="4"/>
      <c r="O40" s="4"/>
      <c r="P40" s="4"/>
    </row>
    <row r="41" spans="2:16" s="2" customFormat="1" x14ac:dyDescent="0.2">
      <c r="B41" s="46" t="s">
        <v>72</v>
      </c>
      <c r="C41" s="53" t="s">
        <v>38</v>
      </c>
      <c r="D41" s="54">
        <f t="shared" si="2"/>
        <v>42255</v>
      </c>
      <c r="E41" s="54">
        <f>_xll.qlSwapStartDate(K41)</f>
        <v>42257</v>
      </c>
      <c r="F41" s="54">
        <f>_xll.qlSwapMaturityDate(K41)</f>
        <v>44449</v>
      </c>
      <c r="G41" s="61">
        <f>_xll.qlOvernightIndexedSwapFairRate(K41,AllTriggers)</f>
        <v>1.529000000000004E-2</v>
      </c>
      <c r="H41" s="28" t="str">
        <f t="shared" si="3"/>
        <v>USD_CURVE_OIS_6Y</v>
      </c>
      <c r="I41" s="61" t="s">
        <v>278</v>
      </c>
      <c r="J41" s="51"/>
      <c r="K41" s="52" t="str">
        <f>_xll.qlMakeOIS(,SettlementDays,IF(B41="SW","1W",B41),OvernightIndex,,FwdStart,DayCountConv,,,Trigger)</f>
        <v>obj_0037d#0000</v>
      </c>
      <c r="L41" s="4"/>
      <c r="M41" s="4"/>
      <c r="N41" s="4"/>
      <c r="O41" s="4"/>
      <c r="P41" s="4"/>
    </row>
    <row r="42" spans="2:16" s="2" customFormat="1" x14ac:dyDescent="0.2">
      <c r="B42" s="46" t="s">
        <v>27</v>
      </c>
      <c r="C42" s="53" t="s">
        <v>38</v>
      </c>
      <c r="D42" s="54">
        <f t="shared" si="2"/>
        <v>42255</v>
      </c>
      <c r="E42" s="54">
        <f>_xll.qlSwapStartDate(K42)</f>
        <v>42257</v>
      </c>
      <c r="F42" s="54">
        <f>_xll.qlSwapMaturityDate(K42)</f>
        <v>44816</v>
      </c>
      <c r="G42" s="61">
        <f>_xll.qlOvernightIndexedSwapFairRate(K42,AllTriggers)</f>
        <v>1.6759999999999928E-2</v>
      </c>
      <c r="H42" s="28" t="str">
        <f t="shared" si="3"/>
        <v>USD_CURVE_OIS_7Y</v>
      </c>
      <c r="I42" s="61" t="s">
        <v>279</v>
      </c>
      <c r="J42" s="51"/>
      <c r="K42" s="52" t="str">
        <f>_xll.qlMakeOIS(,SettlementDays,IF(B42="SW","1W",B42),OvernightIndex,,FwdStart,DayCountConv,,,Trigger)</f>
        <v>obj_0035f#0000</v>
      </c>
      <c r="L42" s="4"/>
      <c r="M42" s="4"/>
      <c r="N42" s="4"/>
      <c r="O42" s="4"/>
      <c r="P42" s="4"/>
    </row>
    <row r="43" spans="2:16" s="2" customFormat="1" x14ac:dyDescent="0.2">
      <c r="B43" s="46" t="s">
        <v>73</v>
      </c>
      <c r="C43" s="53" t="s">
        <v>38</v>
      </c>
      <c r="D43" s="54">
        <f t="shared" si="2"/>
        <v>42255</v>
      </c>
      <c r="E43" s="54">
        <f>_xll.qlSwapStartDate(K43)</f>
        <v>42257</v>
      </c>
      <c r="F43" s="54">
        <f>_xll.qlSwapMaturityDate(K43)</f>
        <v>45180</v>
      </c>
      <c r="G43" s="61">
        <f>_xll.qlOvernightIndexedSwapFairRate(K43,AllTriggers)</f>
        <v>1.7960000000049346E-2</v>
      </c>
      <c r="H43" s="28" t="str">
        <f t="shared" si="3"/>
        <v>USD_CURVE_OIS_8Y</v>
      </c>
      <c r="I43" s="61" t="s">
        <v>280</v>
      </c>
      <c r="J43" s="51"/>
      <c r="K43" s="52" t="str">
        <f>_xll.qlMakeOIS(,SettlementDays,IF(B43="SW","1W",B43),OvernightIndex,,FwdStart,DayCountConv,,,Trigger)</f>
        <v>obj_00362#0000</v>
      </c>
      <c r="L43" s="4"/>
      <c r="M43" s="4"/>
      <c r="N43" s="4"/>
      <c r="O43" s="4"/>
      <c r="P43" s="4"/>
    </row>
    <row r="44" spans="2:16" s="2" customFormat="1" x14ac:dyDescent="0.2">
      <c r="B44" s="46" t="s">
        <v>74</v>
      </c>
      <c r="C44" s="53" t="s">
        <v>38</v>
      </c>
      <c r="D44" s="54">
        <f t="shared" si="2"/>
        <v>42255</v>
      </c>
      <c r="E44" s="54">
        <f>_xll.qlSwapStartDate(K44)</f>
        <v>42257</v>
      </c>
      <c r="F44" s="54">
        <f>_xll.qlSwapMaturityDate(K44)</f>
        <v>45545</v>
      </c>
      <c r="G44" s="61">
        <f>_xll.qlOvernightIndexedSwapFairRate(K44,AllTriggers)</f>
        <v>1.9020000000037753E-2</v>
      </c>
      <c r="H44" s="61" t="str">
        <f t="shared" si="3"/>
        <v>USD_CURVE_OIS_9Y</v>
      </c>
      <c r="I44" s="61" t="s">
        <v>281</v>
      </c>
      <c r="J44" s="51"/>
      <c r="K44" s="52" t="str">
        <f>_xll.qlMakeOIS(,SettlementDays,IF(B44="SW","1W",B44),OvernightIndex,,FwdStart,DayCountConv,,,Trigger)</f>
        <v>obj_00364#0000</v>
      </c>
      <c r="L44" s="4"/>
      <c r="M44" s="4"/>
      <c r="N44" s="4"/>
      <c r="O44" s="4"/>
      <c r="P44" s="4"/>
    </row>
    <row r="45" spans="2:16" s="2" customFormat="1" x14ac:dyDescent="0.2">
      <c r="B45" s="46" t="s">
        <v>28</v>
      </c>
      <c r="C45" s="53" t="s">
        <v>38</v>
      </c>
      <c r="D45" s="54">
        <f t="shared" si="2"/>
        <v>42255</v>
      </c>
      <c r="E45" s="54">
        <f>_xll.qlSwapStartDate(K45)</f>
        <v>42257</v>
      </c>
      <c r="F45" s="54">
        <f>_xll.qlSwapMaturityDate(K45)</f>
        <v>45910</v>
      </c>
      <c r="G45" s="61">
        <f>_xll.qlOvernightIndexedSwapFairRate(K45,AllTriggers)</f>
        <v>1.9870000000028865E-2</v>
      </c>
      <c r="H45" s="61" t="str">
        <f t="shared" si="3"/>
        <v>USD_CURVE_OIS_10Y</v>
      </c>
      <c r="I45" s="61" t="s">
        <v>282</v>
      </c>
      <c r="J45" s="51"/>
      <c r="K45" s="52" t="str">
        <f>_xll.qlMakeOIS(,SettlementDays,IF(B45="SW","1W",B45),OvernightIndex,,FwdStart,DayCountConv,,,Trigger)</f>
        <v>obj_00353#0000</v>
      </c>
      <c r="L45" s="4"/>
      <c r="M45" s="4"/>
      <c r="N45" s="4"/>
      <c r="O45" s="4"/>
      <c r="P45" s="4"/>
    </row>
    <row r="46" spans="2:16" s="2" customFormat="1" x14ac:dyDescent="0.2">
      <c r="B46" s="46" t="s">
        <v>75</v>
      </c>
      <c r="C46" s="53" t="s">
        <v>38</v>
      </c>
      <c r="D46" s="54">
        <f t="shared" si="2"/>
        <v>42255</v>
      </c>
      <c r="E46" s="54">
        <f>_xll.qlSwapStartDate(K46)</f>
        <v>42257</v>
      </c>
      <c r="F46" s="54">
        <f>_xll.qlSwapMaturityDate(K46)</f>
        <v>46275</v>
      </c>
      <c r="G46" s="61">
        <f>_xll.qlOvernightIndexedSwapFairRate(K46,AllTriggers)</f>
        <v>2.0577027733054858E-2</v>
      </c>
      <c r="H46" s="28" t="str">
        <f t="shared" si="3"/>
        <v>USD_CURVE_OIS_11Y</v>
      </c>
      <c r="I46" s="61"/>
      <c r="J46" s="51"/>
      <c r="K46" s="52" t="str">
        <f>_xll.qlMakeOIS(,SettlementDays,IF(B46="SW","1W",B46),OvernightIndex,,FwdStart,DayCountConv,,,Trigger)</f>
        <v>obj_00375#0000</v>
      </c>
      <c r="L46" s="4"/>
      <c r="M46" s="4"/>
      <c r="N46" s="4"/>
      <c r="O46" s="4"/>
      <c r="P46" s="4"/>
    </row>
    <row r="47" spans="2:16" s="2" customFormat="1" x14ac:dyDescent="0.2">
      <c r="B47" s="46" t="s">
        <v>29</v>
      </c>
      <c r="C47" s="53" t="s">
        <v>38</v>
      </c>
      <c r="D47" s="54">
        <f t="shared" si="2"/>
        <v>42255</v>
      </c>
      <c r="E47" s="54">
        <f>_xll.qlSwapStartDate(K47)</f>
        <v>42257</v>
      </c>
      <c r="F47" s="54">
        <f>_xll.qlSwapMaturityDate(K47)</f>
        <v>46640</v>
      </c>
      <c r="G47" s="61">
        <f>_xll.qlOvernightIndexedSwapFairRate(K47,AllTriggers)</f>
        <v>2.117999999993523E-2</v>
      </c>
      <c r="H47" s="28" t="str">
        <f t="shared" si="3"/>
        <v>USD_CURVE_OIS_12Y</v>
      </c>
      <c r="I47" s="61" t="s">
        <v>283</v>
      </c>
      <c r="J47" s="51"/>
      <c r="K47" s="52" t="str">
        <f>_xll.qlMakeOIS(,SettlementDays,IF(B47="SW","1W",B47),OvernightIndex,,FwdStart,DayCountConv,,,Trigger)</f>
        <v>obj_00356#0000</v>
      </c>
      <c r="L47" s="4"/>
      <c r="M47" s="4"/>
      <c r="N47" s="4"/>
      <c r="O47" s="4"/>
      <c r="P47" s="4"/>
    </row>
    <row r="48" spans="2:16" s="2" customFormat="1" x14ac:dyDescent="0.2">
      <c r="B48" s="46" t="s">
        <v>76</v>
      </c>
      <c r="C48" s="53" t="s">
        <v>38</v>
      </c>
      <c r="D48" s="54">
        <f t="shared" si="2"/>
        <v>42255</v>
      </c>
      <c r="E48" s="54">
        <f>_xll.qlSwapStartDate(K48)</f>
        <v>42257</v>
      </c>
      <c r="F48" s="54">
        <f>_xll.qlSwapMaturityDate(K48)</f>
        <v>47007</v>
      </c>
      <c r="G48" s="61">
        <f>_xll.qlOvernightIndexedSwapFairRate(K48,AllTriggers)</f>
        <v>2.169854391441722E-2</v>
      </c>
      <c r="H48" s="28" t="str">
        <f t="shared" si="3"/>
        <v>USD_CURVE_OIS_13Y</v>
      </c>
      <c r="I48" s="61"/>
      <c r="J48" s="51"/>
      <c r="K48" s="52" t="str">
        <f>_xll.qlMakeOIS(,SettlementDays,IF(B48="SW","1W",B48),OvernightIndex,,FwdStart,DayCountConv,,,Trigger)</f>
        <v>obj_0037a#0000</v>
      </c>
      <c r="L48" s="4"/>
      <c r="M48" s="4"/>
      <c r="N48" s="4"/>
      <c r="O48" s="4"/>
      <c r="P48" s="4"/>
    </row>
    <row r="49" spans="2:16" s="2" customFormat="1" x14ac:dyDescent="0.2">
      <c r="B49" s="46" t="s">
        <v>77</v>
      </c>
      <c r="C49" s="53" t="s">
        <v>38</v>
      </c>
      <c r="D49" s="54">
        <f t="shared" si="2"/>
        <v>42255</v>
      </c>
      <c r="E49" s="54">
        <f>_xll.qlSwapStartDate(K49)</f>
        <v>42257</v>
      </c>
      <c r="F49" s="54">
        <f>_xll.qlSwapMaturityDate(K49)</f>
        <v>47371</v>
      </c>
      <c r="G49" s="61">
        <f>_xll.qlOvernightIndexedSwapFairRate(K49,AllTriggers)</f>
        <v>2.2137161857748288E-2</v>
      </c>
      <c r="H49" s="28" t="str">
        <f t="shared" si="3"/>
        <v>USD_CURVE_OIS_14Y</v>
      </c>
      <c r="I49" s="61"/>
      <c r="J49" s="51"/>
      <c r="K49" s="52" t="str">
        <f>_xll.qlMakeOIS(,SettlementDays,IF(B49="SW","1W",B49),OvernightIndex,,FwdStart,DayCountConv,,,Trigger)</f>
        <v>obj_00368#0000</v>
      </c>
      <c r="L49" s="4"/>
      <c r="M49" s="4"/>
      <c r="N49" s="4"/>
      <c r="O49" s="4"/>
      <c r="P49" s="4"/>
    </row>
    <row r="50" spans="2:16" s="2" customFormat="1" x14ac:dyDescent="0.2">
      <c r="B50" s="46" t="s">
        <v>30</v>
      </c>
      <c r="C50" s="53" t="s">
        <v>38</v>
      </c>
      <c r="D50" s="54">
        <f t="shared" si="2"/>
        <v>42255</v>
      </c>
      <c r="E50" s="54">
        <f>_xll.qlSwapStartDate(K50)</f>
        <v>42257</v>
      </c>
      <c r="F50" s="54">
        <f>_xll.qlSwapMaturityDate(K50)</f>
        <v>47736</v>
      </c>
      <c r="G50" s="61">
        <f>_xll.qlOvernightIndexedSwapFairRate(K50,AllTriggers)</f>
        <v>2.2510000000044713E-2</v>
      </c>
      <c r="H50" s="28" t="str">
        <f t="shared" si="3"/>
        <v>USD_CURVE_OIS_15Y</v>
      </c>
      <c r="I50" s="61" t="s">
        <v>284</v>
      </c>
      <c r="J50" s="51"/>
      <c r="K50" s="52" t="str">
        <f>_xll.qlMakeOIS(,SettlementDays,IF(B50="SW","1W",B50),OvernightIndex,,FwdStart,DayCountConv,,,Trigger)</f>
        <v>obj_00363#0000</v>
      </c>
      <c r="L50" s="4"/>
      <c r="M50" s="4"/>
      <c r="N50" s="4"/>
      <c r="O50" s="4"/>
      <c r="P50" s="4"/>
    </row>
    <row r="51" spans="2:16" s="2" customFormat="1" x14ac:dyDescent="0.2">
      <c r="B51" s="46" t="s">
        <v>78</v>
      </c>
      <c r="C51" s="53" t="s">
        <v>38</v>
      </c>
      <c r="D51" s="54">
        <f t="shared" si="2"/>
        <v>42255</v>
      </c>
      <c r="E51" s="54">
        <f>_xll.qlSwapStartDate(K51)</f>
        <v>42257</v>
      </c>
      <c r="F51" s="54">
        <f>_xll.qlSwapMaturityDate(K51)</f>
        <v>48101</v>
      </c>
      <c r="G51" s="61">
        <f>_xll.qlOvernightIndexedSwapFairRate(K51,AllTriggers)</f>
        <v>2.2823556309590841E-2</v>
      </c>
      <c r="H51" s="28" t="str">
        <f t="shared" si="3"/>
        <v>USD_CURVE_OIS_16Y</v>
      </c>
      <c r="I51" s="61"/>
      <c r="J51" s="51"/>
      <c r="K51" s="52" t="str">
        <f>_xll.qlMakeOIS(,SettlementDays,IF(B51="SW","1W",B51),OvernightIndex,,FwdStart,DayCountConv,,,Trigger)</f>
        <v>obj_0036e#0000</v>
      </c>
      <c r="L51" s="4"/>
      <c r="M51" s="4"/>
      <c r="N51" s="4"/>
      <c r="O51" s="4"/>
      <c r="P51" s="4"/>
    </row>
    <row r="52" spans="2:16" s="2" customFormat="1" x14ac:dyDescent="0.2">
      <c r="B52" s="46" t="s">
        <v>79</v>
      </c>
      <c r="C52" s="53" t="s">
        <v>38</v>
      </c>
      <c r="D52" s="54">
        <f t="shared" si="2"/>
        <v>42255</v>
      </c>
      <c r="E52" s="54">
        <f>_xll.qlSwapStartDate(K52)</f>
        <v>42257</v>
      </c>
      <c r="F52" s="54">
        <f>_xll.qlSwapMaturityDate(K52)</f>
        <v>48467</v>
      </c>
      <c r="G52" s="61">
        <f>_xll.qlOvernightIndexedSwapFairRate(K52,AllTriggers)</f>
        <v>2.3089441185618058E-2</v>
      </c>
      <c r="H52" s="28" t="str">
        <f t="shared" si="3"/>
        <v>USD_CURVE_OIS_17Y</v>
      </c>
      <c r="I52" s="61"/>
      <c r="J52" s="51"/>
      <c r="K52" s="52" t="str">
        <f>_xll.qlMakeOIS(,SettlementDays,IF(B52="SW","1W",B52),OvernightIndex,,FwdStart,DayCountConv,,,Trigger)</f>
        <v>obj_00361#0000</v>
      </c>
      <c r="L52" s="4"/>
      <c r="M52" s="4"/>
      <c r="N52" s="4"/>
      <c r="O52" s="4"/>
      <c r="P52" s="4"/>
    </row>
    <row r="53" spans="2:16" s="2" customFormat="1" x14ac:dyDescent="0.2">
      <c r="B53" s="46" t="s">
        <v>80</v>
      </c>
      <c r="C53" s="53" t="s">
        <v>38</v>
      </c>
      <c r="D53" s="54">
        <f t="shared" si="2"/>
        <v>42255</v>
      </c>
      <c r="E53" s="54">
        <f>_xll.qlSwapStartDate(K53)</f>
        <v>42257</v>
      </c>
      <c r="F53" s="54">
        <f>_xll.qlSwapMaturityDate(K53)</f>
        <v>48834</v>
      </c>
      <c r="G53" s="61">
        <f>_xll.qlOvernightIndexedSwapFairRate(K53,AllTriggers)</f>
        <v>2.3316903102877085E-2</v>
      </c>
      <c r="H53" s="28" t="str">
        <f t="shared" si="3"/>
        <v>USD_CURVE_OIS_18Y</v>
      </c>
      <c r="I53" s="61"/>
      <c r="J53" s="51"/>
      <c r="K53" s="52" t="str">
        <f>_xll.qlMakeOIS(,SettlementDays,IF(B53="SW","1W",B53),OvernightIndex,,FwdStart,DayCountConv,,,Trigger)</f>
        <v>obj_0037c#0000</v>
      </c>
      <c r="L53" s="4"/>
      <c r="M53" s="4"/>
      <c r="N53" s="4"/>
      <c r="O53" s="4"/>
      <c r="P53" s="4"/>
    </row>
    <row r="54" spans="2:16" s="2" customFormat="1" x14ac:dyDescent="0.2">
      <c r="B54" s="46" t="s">
        <v>81</v>
      </c>
      <c r="C54" s="53" t="s">
        <v>38</v>
      </c>
      <c r="D54" s="54">
        <f t="shared" si="2"/>
        <v>42255</v>
      </c>
      <c r="E54" s="54">
        <f>_xll.qlSwapStartDate(K54)</f>
        <v>42257</v>
      </c>
      <c r="F54" s="54">
        <f>_xll.qlSwapMaturityDate(K54)</f>
        <v>49198</v>
      </c>
      <c r="G54" s="61">
        <f>_xll.qlOvernightIndexedSwapFairRate(K54,AllTriggers)</f>
        <v>2.3511093027330003E-2</v>
      </c>
      <c r="H54" s="28" t="str">
        <f t="shared" si="3"/>
        <v>USD_CURVE_OIS_19Y</v>
      </c>
      <c r="I54" s="61"/>
      <c r="J54" s="51"/>
      <c r="K54" s="52" t="str">
        <f>_xll.qlMakeOIS(,SettlementDays,IF(B54="SW","1W",B54),OvernightIndex,,FwdStart,DayCountConv,,,Trigger)</f>
        <v>obj_00377#0000</v>
      </c>
      <c r="L54" s="4"/>
      <c r="M54" s="4"/>
      <c r="N54" s="4"/>
      <c r="O54" s="4"/>
      <c r="P54" s="4"/>
    </row>
    <row r="55" spans="2:16" s="2" customFormat="1" x14ac:dyDescent="0.2">
      <c r="B55" s="46" t="s">
        <v>82</v>
      </c>
      <c r="C55" s="53" t="s">
        <v>38</v>
      </c>
      <c r="D55" s="54">
        <f t="shared" si="2"/>
        <v>42255</v>
      </c>
      <c r="E55" s="54">
        <f>_xll.qlSwapStartDate(K55)</f>
        <v>42257</v>
      </c>
      <c r="F55" s="54">
        <f>_xll.qlSwapMaturityDate(K55)</f>
        <v>49562</v>
      </c>
      <c r="G55" s="61">
        <f>_xll.qlOvernightIndexedSwapFairRate(K55,AllTriggers)</f>
        <v>2.3679999999998334E-2</v>
      </c>
      <c r="H55" s="28" t="str">
        <f t="shared" si="3"/>
        <v>USD_CURVE_OIS_20Y</v>
      </c>
      <c r="I55" s="61" t="s">
        <v>285</v>
      </c>
      <c r="J55" s="51"/>
      <c r="K55" s="52" t="str">
        <f>_xll.qlMakeOIS(,SettlementDays,IF(B55="SW","1W",B55),OvernightIndex,,FwdStart,DayCountConv,,,Trigger)</f>
        <v>obj_00367#0000</v>
      </c>
      <c r="L55" s="4"/>
      <c r="M55" s="4"/>
      <c r="N55" s="4"/>
      <c r="O55" s="4"/>
      <c r="P55" s="4"/>
    </row>
    <row r="56" spans="2:16" s="2" customFormat="1" x14ac:dyDescent="0.2">
      <c r="B56" s="46" t="s">
        <v>83</v>
      </c>
      <c r="C56" s="53" t="s">
        <v>38</v>
      </c>
      <c r="D56" s="54">
        <f t="shared" si="2"/>
        <v>42255</v>
      </c>
      <c r="E56" s="54">
        <f>_xll.qlSwapStartDate(K56)</f>
        <v>42257</v>
      </c>
      <c r="F56" s="54">
        <f>_xll.qlSwapMaturityDate(K56)</f>
        <v>49928</v>
      </c>
      <c r="G56" s="61">
        <f>_xll.qlOvernightIndexedSwapFairRate(K56,AllTriggers)</f>
        <v>2.382911207237795E-2</v>
      </c>
      <c r="H56" s="28" t="str">
        <f t="shared" si="3"/>
        <v>USD_CURVE_OIS_21Y</v>
      </c>
      <c r="I56" s="61"/>
      <c r="J56" s="51"/>
      <c r="K56" s="52" t="str">
        <f>_xll.qlMakeOIS(,SettlementDays,IF(B56="SW","1W",B56),OvernightIndex,,FwdStart,DayCountConv,,,Trigger)</f>
        <v>obj_00372#0000</v>
      </c>
      <c r="L56" s="4"/>
      <c r="M56" s="4"/>
      <c r="N56" s="4"/>
      <c r="O56" s="4"/>
      <c r="P56" s="4"/>
    </row>
    <row r="57" spans="2:16" s="2" customFormat="1" x14ac:dyDescent="0.2">
      <c r="B57" s="46" t="s">
        <v>84</v>
      </c>
      <c r="C57" s="53" t="s">
        <v>38</v>
      </c>
      <c r="D57" s="54">
        <f t="shared" si="2"/>
        <v>42255</v>
      </c>
      <c r="E57" s="54">
        <f>_xll.qlSwapStartDate(K57)</f>
        <v>42257</v>
      </c>
      <c r="F57" s="54">
        <f>_xll.qlSwapMaturityDate(K57)</f>
        <v>50293</v>
      </c>
      <c r="G57" s="61">
        <f>_xll.qlOvernightIndexedSwapFairRate(K57,AllTriggers)</f>
        <v>2.3960666382092471E-2</v>
      </c>
      <c r="H57" s="28" t="str">
        <f t="shared" si="3"/>
        <v>USD_CURVE_OIS_22Y</v>
      </c>
      <c r="I57" s="61"/>
      <c r="J57" s="51"/>
      <c r="K57" s="52" t="str">
        <f>_xll.qlMakeOIS(,SettlementDays,IF(B57="SW","1W",B57),OvernightIndex,,FwdStart,DayCountConv,,,Trigger)</f>
        <v>obj_00382#0000</v>
      </c>
      <c r="L57" s="4"/>
      <c r="M57" s="4"/>
      <c r="N57" s="4"/>
      <c r="O57" s="4"/>
      <c r="P57" s="4"/>
    </row>
    <row r="58" spans="2:16" s="2" customFormat="1" x14ac:dyDescent="0.2">
      <c r="B58" s="46" t="s">
        <v>85</v>
      </c>
      <c r="C58" s="53" t="s">
        <v>38</v>
      </c>
      <c r="D58" s="54">
        <f t="shared" si="2"/>
        <v>42255</v>
      </c>
      <c r="E58" s="54">
        <f>_xll.qlSwapStartDate(K58)</f>
        <v>42257</v>
      </c>
      <c r="F58" s="54">
        <f>_xll.qlSwapMaturityDate(K58)</f>
        <v>50658</v>
      </c>
      <c r="G58" s="61">
        <f>_xll.qlOvernightIndexedSwapFairRate(K58,AllTriggers)</f>
        <v>2.4078070565081169E-2</v>
      </c>
      <c r="H58" s="28" t="str">
        <f t="shared" si="3"/>
        <v>USD_CURVE_OIS_23Y</v>
      </c>
      <c r="I58" s="61"/>
      <c r="J58" s="51"/>
      <c r="K58" s="52" t="str">
        <f>_xll.qlMakeOIS(,SettlementDays,IF(B58="SW","1W",B58),OvernightIndex,,FwdStart,DayCountConv,,,Trigger)</f>
        <v>obj_0035b#0000</v>
      </c>
      <c r="L58" s="4"/>
      <c r="M58" s="4"/>
      <c r="N58" s="4"/>
      <c r="O58" s="4"/>
      <c r="P58" s="4"/>
    </row>
    <row r="59" spans="2:16" s="2" customFormat="1" x14ac:dyDescent="0.2">
      <c r="B59" s="46" t="s">
        <v>86</v>
      </c>
      <c r="C59" s="53" t="s">
        <v>38</v>
      </c>
      <c r="D59" s="54">
        <f t="shared" si="2"/>
        <v>42255</v>
      </c>
      <c r="E59" s="54">
        <f>_xll.qlSwapStartDate(K59)</f>
        <v>42257</v>
      </c>
      <c r="F59" s="54">
        <f>_xll.qlSwapMaturityDate(K59)</f>
        <v>51025</v>
      </c>
      <c r="G59" s="61">
        <f>_xll.qlOvernightIndexedSwapFairRate(K59,AllTriggers)</f>
        <v>2.418435591098432E-2</v>
      </c>
      <c r="H59" s="28" t="str">
        <f t="shared" si="3"/>
        <v>USD_CURVE_OIS_24Y</v>
      </c>
      <c r="I59" s="61"/>
      <c r="J59" s="51"/>
      <c r="K59" s="52" t="str">
        <f>_xll.qlMakeOIS(,SettlementDays,IF(B59="SW","1W",B59),OvernightIndex,,FwdStart,DayCountConv,,,Trigger)</f>
        <v>obj_00373#0000</v>
      </c>
      <c r="L59" s="4"/>
      <c r="M59" s="4"/>
      <c r="N59" s="4"/>
      <c r="O59" s="4"/>
      <c r="P59" s="4"/>
    </row>
    <row r="60" spans="2:16" s="2" customFormat="1" x14ac:dyDescent="0.2">
      <c r="B60" s="46" t="s">
        <v>87</v>
      </c>
      <c r="C60" s="53" t="s">
        <v>38</v>
      </c>
      <c r="D60" s="54">
        <f t="shared" si="2"/>
        <v>42255</v>
      </c>
      <c r="E60" s="54">
        <f>_xll.qlSwapStartDate(K60)</f>
        <v>42257</v>
      </c>
      <c r="F60" s="54">
        <f>_xll.qlSwapMaturityDate(K60)</f>
        <v>51389</v>
      </c>
      <c r="G60" s="61">
        <f>_xll.qlOvernightIndexedSwapFairRate(K60,AllTriggers)</f>
        <v>2.4280000000016688E-2</v>
      </c>
      <c r="H60" s="28" t="str">
        <f t="shared" si="3"/>
        <v>USD_CURVE_OIS_25Y</v>
      </c>
      <c r="I60" s="61" t="s">
        <v>286</v>
      </c>
      <c r="J60" s="51"/>
      <c r="K60" s="52" t="str">
        <f>_xll.qlMakeOIS(,SettlementDays,IF(B60="SW","1W",B60),OvernightIndex,,FwdStart,DayCountConv,,,Trigger)</f>
        <v>obj_0036d#0000</v>
      </c>
      <c r="L60" s="4"/>
      <c r="M60" s="4"/>
      <c r="N60" s="4"/>
      <c r="O60" s="4"/>
      <c r="P60" s="4"/>
    </row>
    <row r="61" spans="2:16" s="2" customFormat="1" x14ac:dyDescent="0.2">
      <c r="B61" s="46" t="s">
        <v>88</v>
      </c>
      <c r="C61" s="53" t="s">
        <v>38</v>
      </c>
      <c r="D61" s="54">
        <f t="shared" si="2"/>
        <v>42255</v>
      </c>
      <c r="E61" s="54">
        <f>_xll.qlSwapStartDate(K61)</f>
        <v>42257</v>
      </c>
      <c r="F61" s="54">
        <f>_xll.qlSwapMaturityDate(K61)</f>
        <v>51754</v>
      </c>
      <c r="G61" s="61">
        <f>_xll.qlOvernightIndexedSwapFairRate(K61,AllTriggers)</f>
        <v>2.4367589497145296E-2</v>
      </c>
      <c r="H61" s="28" t="str">
        <f t="shared" si="3"/>
        <v>USD_CURVE_OIS_26Y</v>
      </c>
      <c r="I61" s="61"/>
      <c r="J61" s="51"/>
      <c r="K61" s="52" t="str">
        <f>_xll.qlMakeOIS(,SettlementDays,IF(B61="SW","1W",B61),OvernightIndex,,FwdStart,DayCountConv,,,Trigger)</f>
        <v>obj_0037e#0000</v>
      </c>
      <c r="L61" s="4"/>
      <c r="M61" s="4"/>
      <c r="N61" s="4"/>
      <c r="O61" s="4"/>
      <c r="P61" s="4"/>
    </row>
    <row r="62" spans="2:16" s="2" customFormat="1" x14ac:dyDescent="0.2">
      <c r="B62" s="46" t="s">
        <v>89</v>
      </c>
      <c r="C62" s="53" t="s">
        <v>38</v>
      </c>
      <c r="D62" s="54">
        <f t="shared" si="2"/>
        <v>42255</v>
      </c>
      <c r="E62" s="54">
        <f>_xll.qlSwapStartDate(K62)</f>
        <v>42257</v>
      </c>
      <c r="F62" s="54">
        <f>_xll.qlSwapMaturityDate(K62)</f>
        <v>52119</v>
      </c>
      <c r="G62" s="61">
        <f>_xll.qlOvernightIndexedSwapFairRate(K62,AllTriggers)</f>
        <v>2.4446688170188701E-2</v>
      </c>
      <c r="H62" s="28" t="str">
        <f t="shared" ref="H62:H68" si="4">Currency&amp;"_CURVE_OIS"&amp;"_"&amp;B62</f>
        <v>USD_CURVE_OIS_27Y</v>
      </c>
      <c r="I62" s="61" t="s">
        <v>287</v>
      </c>
      <c r="J62" s="51"/>
      <c r="K62" s="52" t="str">
        <f>_xll.qlMakeOIS(,SettlementDays,IF(B62="SW","1W",B62),OvernightIndex,,FwdStart,DayCountConv,,,Trigger)</f>
        <v>obj_00369#0000</v>
      </c>
      <c r="L62" s="4"/>
      <c r="M62" s="4"/>
      <c r="N62" s="4"/>
      <c r="O62" s="4"/>
      <c r="P62" s="4"/>
    </row>
    <row r="63" spans="2:16" s="2" customFormat="1" x14ac:dyDescent="0.2">
      <c r="B63" s="46" t="s">
        <v>90</v>
      </c>
      <c r="C63" s="53" t="s">
        <v>38</v>
      </c>
      <c r="D63" s="54">
        <f t="shared" si="2"/>
        <v>42255</v>
      </c>
      <c r="E63" s="54">
        <f>_xll.qlSwapStartDate(K63)</f>
        <v>42257</v>
      </c>
      <c r="F63" s="54">
        <f>_xll.qlSwapMaturityDate(K63)</f>
        <v>52484</v>
      </c>
      <c r="G63" s="61">
        <f>_xll.qlOvernightIndexedSwapFairRate(K63,AllTriggers)</f>
        <v>2.4516915324743052E-2</v>
      </c>
      <c r="H63" s="28" t="str">
        <f t="shared" si="4"/>
        <v>USD_CURVE_OIS_28Y</v>
      </c>
      <c r="I63" s="61"/>
      <c r="J63" s="51"/>
      <c r="K63" s="52" t="str">
        <f>_xll.qlMakeOIS(,SettlementDays,IF(B63="SW","1W",B63),OvernightIndex,,FwdStart,DayCountConv,,,Trigger)</f>
        <v>obj_00380#0000</v>
      </c>
      <c r="L63" s="4"/>
      <c r="M63" s="4"/>
      <c r="N63" s="4"/>
      <c r="O63" s="4"/>
      <c r="P63" s="4"/>
    </row>
    <row r="64" spans="2:16" s="2" customFormat="1" x14ac:dyDescent="0.2">
      <c r="B64" s="46" t="s">
        <v>91</v>
      </c>
      <c r="C64" s="53" t="s">
        <v>38</v>
      </c>
      <c r="D64" s="54">
        <f t="shared" si="2"/>
        <v>42255</v>
      </c>
      <c r="E64" s="54">
        <f>_xll.qlSwapStartDate(K64)</f>
        <v>42257</v>
      </c>
      <c r="F64" s="54">
        <f>_xll.qlSwapMaturityDate(K64)</f>
        <v>52852</v>
      </c>
      <c r="G64" s="61">
        <f>_xll.qlOvernightIndexedSwapFairRate(K64,AllTriggers)</f>
        <v>2.4578514249298335E-2</v>
      </c>
      <c r="H64" s="28" t="str">
        <f t="shared" si="4"/>
        <v>USD_CURVE_OIS_29Y</v>
      </c>
      <c r="I64" s="61"/>
      <c r="J64" s="51"/>
      <c r="K64" s="52" t="str">
        <f>_xll.qlMakeOIS(,SettlementDays,IF(B64="SW","1W",B64),OvernightIndex,,FwdStart,DayCountConv,,,Trigger)</f>
        <v>obj_00374#0000</v>
      </c>
      <c r="L64" s="4"/>
      <c r="M64" s="4"/>
      <c r="N64" s="4"/>
      <c r="O64" s="4"/>
      <c r="P64" s="4"/>
    </row>
    <row r="65" spans="2:16" s="2" customFormat="1" x14ac:dyDescent="0.2">
      <c r="B65" s="46" t="s">
        <v>92</v>
      </c>
      <c r="C65" s="53" t="s">
        <v>38</v>
      </c>
      <c r="D65" s="54">
        <f t="shared" si="2"/>
        <v>42255</v>
      </c>
      <c r="E65" s="54">
        <f>_xll.qlSwapStartDate(K65)</f>
        <v>42257</v>
      </c>
      <c r="F65" s="54">
        <f>_xll.qlSwapMaturityDate(K65)</f>
        <v>53216</v>
      </c>
      <c r="G65" s="61">
        <f>_xll.qlOvernightIndexedSwapFairRate(K65,AllTriggers)</f>
        <v>2.4629999999996297E-2</v>
      </c>
      <c r="H65" s="28" t="str">
        <f t="shared" si="4"/>
        <v>USD_CURVE_OIS_30Y</v>
      </c>
      <c r="I65" s="61" t="s">
        <v>288</v>
      </c>
      <c r="J65" s="51"/>
      <c r="K65" s="52" t="str">
        <f>_xll.qlMakeOIS(,SettlementDays,IF(B65="SW","1W",B65),OvernightIndex,,FwdStart,DayCountConv,,,Trigger)</f>
        <v>obj_00358#0000</v>
      </c>
      <c r="L65" s="4"/>
      <c r="M65" s="4"/>
      <c r="N65" s="4"/>
      <c r="O65" s="4"/>
      <c r="P65" s="4"/>
    </row>
    <row r="66" spans="2:16" s="2" customFormat="1" x14ac:dyDescent="0.2">
      <c r="B66" s="46" t="s">
        <v>93</v>
      </c>
      <c r="C66" s="53" t="s">
        <v>38</v>
      </c>
      <c r="D66" s="54">
        <f t="shared" si="2"/>
        <v>42255</v>
      </c>
      <c r="E66" s="54">
        <f>_xll.qlSwapStartDate(K66)</f>
        <v>42257</v>
      </c>
      <c r="F66" s="54">
        <f>_xll.qlSwapMaturityDate(K66)</f>
        <v>56867</v>
      </c>
      <c r="G66" s="61">
        <f>_xll.qlOvernightIndexedSwapFairRate(K66,AllTriggers)</f>
        <v>2.4770000000002009E-2</v>
      </c>
      <c r="H66" s="61" t="str">
        <f t="shared" si="4"/>
        <v>USD_CURVE_OIS_40Y</v>
      </c>
      <c r="I66" s="61" t="s">
        <v>289</v>
      </c>
      <c r="J66" s="51"/>
      <c r="K66" s="52" t="str">
        <f>_xll.qlMakeOIS(,SettlementDays,IF(B66="SW","1W",B66),OvernightIndex,,FwdStart,DayCountConv,,,Trigger)</f>
        <v>obj_0037b#0000</v>
      </c>
      <c r="L66" s="4"/>
      <c r="M66" s="4"/>
      <c r="N66" s="4"/>
      <c r="O66" s="4"/>
      <c r="P66" s="4"/>
    </row>
    <row r="67" spans="2:16" s="2" customFormat="1" x14ac:dyDescent="0.2">
      <c r="B67" s="46" t="s">
        <v>94</v>
      </c>
      <c r="C67" s="53" t="s">
        <v>38</v>
      </c>
      <c r="D67" s="54">
        <f t="shared" si="2"/>
        <v>42255</v>
      </c>
      <c r="E67" s="54">
        <f>_xll.qlSwapStartDate(K67)</f>
        <v>42257</v>
      </c>
      <c r="F67" s="54">
        <f>_xll.qlSwapMaturityDate(K67)</f>
        <v>60520</v>
      </c>
      <c r="G67" s="61">
        <f>_xll.qlOvernightIndexedSwapFairRate(K67,AllTriggers)</f>
        <v>2.4620000000004368E-2</v>
      </c>
      <c r="H67" s="28" t="str">
        <f t="shared" si="4"/>
        <v>USD_CURVE_OIS_50Y</v>
      </c>
      <c r="I67" s="61" t="s">
        <v>290</v>
      </c>
      <c r="J67" s="51"/>
      <c r="K67" s="52" t="str">
        <f>_xll.qlMakeOIS(,SettlementDays,IF(B67="SW","1W",B67),OvernightIndex,,FwdStart,DayCountConv,,,Trigger)</f>
        <v>obj_00371#0000</v>
      </c>
      <c r="L67" s="4"/>
      <c r="M67" s="4"/>
    </row>
    <row r="68" spans="2:16" s="2" customFormat="1" x14ac:dyDescent="0.2">
      <c r="B68" s="47" t="s">
        <v>95</v>
      </c>
      <c r="C68" s="55" t="s">
        <v>38</v>
      </c>
      <c r="D68" s="56">
        <f t="shared" si="2"/>
        <v>42255</v>
      </c>
      <c r="E68" s="56">
        <f>_xll.qlSwapStartDate(K68)</f>
        <v>42257</v>
      </c>
      <c r="F68" s="56">
        <f>_xll.qlSwapMaturityDate(K68)</f>
        <v>64172</v>
      </c>
      <c r="G68" s="57">
        <f>_xll.qlOvernightIndexedSwapFairRate(K68,AllTriggers)</f>
        <v>2.4489038216135951E-2</v>
      </c>
      <c r="H68" s="57" t="str">
        <f t="shared" si="4"/>
        <v>USD_CURVE_OIS_60Y</v>
      </c>
      <c r="I68" s="57"/>
      <c r="J68" s="51"/>
      <c r="K68" s="58" t="str">
        <f>_xll.qlMakeOIS(,SettlementDays,IF(B68="SW","1W",B68),OvernightIndex,,FwdStart,DayCountConv,,,Trigger)</f>
        <v>obj_0035c#0000</v>
      </c>
      <c r="L68" s="4"/>
      <c r="M68" s="4"/>
    </row>
  </sheetData>
  <dataValidations disablePrompts="1" count="1">
    <dataValidation type="list" allowBlank="1" showInputMessage="1" showErrorMessage="1" sqref="N6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8"/>
  <sheetViews>
    <sheetView workbookViewId="0"/>
  </sheetViews>
  <sheetFormatPr defaultColWidth="2.85546875" defaultRowHeight="11.25" outlineLevelCol="1" x14ac:dyDescent="0.2"/>
  <cols>
    <col min="1" max="1" width="2.7109375" style="4" customWidth="1"/>
    <col min="2" max="2" width="10" style="3" bestFit="1" customWidth="1"/>
    <col min="3" max="3" width="15.140625" style="4" bestFit="1" customWidth="1"/>
    <col min="4" max="6" width="17.28515625" style="4" customWidth="1"/>
    <col min="7" max="7" width="8" style="5" bestFit="1" customWidth="1"/>
    <col min="8" max="8" width="24.42578125" style="4" bestFit="1" customWidth="1"/>
    <col min="9" max="9" width="24.42578125" style="4" customWidth="1"/>
    <col min="10" max="10" width="2.7109375" style="4" hidden="1" customWidth="1" outlineLevel="1"/>
    <col min="11" max="11" width="17.28515625" style="4" hidden="1" customWidth="1" outlineLevel="1"/>
    <col min="12" max="12" width="2" style="4" hidden="1" customWidth="1" outlineLevel="1"/>
    <col min="13" max="13" width="15.42578125" style="4" hidden="1" customWidth="1" outlineLevel="1"/>
    <col min="14" max="14" width="21.42578125" style="2" hidden="1" customWidth="1" outlineLevel="1"/>
    <col min="15" max="15" width="21" style="2" hidden="1" customWidth="1" outlineLevel="1"/>
    <col min="16" max="16" width="21.42578125" style="2" customWidth="1" collapsed="1"/>
    <col min="17" max="17" width="17.28515625" style="2" bestFit="1" customWidth="1"/>
    <col min="18" max="18" width="13.140625" style="2" bestFit="1" customWidth="1"/>
    <col min="19" max="19" width="6" style="2" bestFit="1" customWidth="1"/>
    <col min="20" max="20" width="12" style="2" bestFit="1" customWidth="1"/>
    <col min="21" max="21" width="13.140625" style="2" bestFit="1" customWidth="1"/>
    <col min="22" max="22" width="12" style="2" bestFit="1" customWidth="1"/>
    <col min="23" max="23" width="15.140625" style="2" bestFit="1" customWidth="1"/>
    <col min="24" max="71" width="27.28515625" style="2" customWidth="1"/>
    <col min="72" max="16384" width="2.85546875" style="2"/>
  </cols>
  <sheetData>
    <row r="1" spans="1:32" x14ac:dyDescent="0.2">
      <c r="A1" s="37"/>
      <c r="B1" s="34"/>
      <c r="C1" s="35" t="s">
        <v>52</v>
      </c>
      <c r="D1" s="36" t="s">
        <v>18</v>
      </c>
      <c r="E1" s="37"/>
      <c r="F1" s="37"/>
      <c r="G1" s="29"/>
      <c r="H1" s="37"/>
      <c r="I1" s="37"/>
      <c r="J1" s="37"/>
      <c r="K1" s="37"/>
      <c r="L1" s="37"/>
      <c r="M1" s="37"/>
    </row>
    <row r="2" spans="1:32" x14ac:dyDescent="0.2">
      <c r="C2" s="35" t="s">
        <v>53</v>
      </c>
      <c r="D2" s="36" t="str">
        <f>Currency&amp;"STD"</f>
        <v>USDSTD</v>
      </c>
      <c r="E2" s="37"/>
      <c r="F2" s="37"/>
      <c r="G2" s="29"/>
      <c r="H2" s="37"/>
      <c r="I2" s="37"/>
      <c r="K2" s="37"/>
    </row>
    <row r="3" spans="1:32" x14ac:dyDescent="0.2">
      <c r="C3" s="35" t="s">
        <v>31</v>
      </c>
      <c r="D3" s="16" t="str">
        <f>_xll.qlLibor(,Currency,D1,D2,,Trigger)</f>
        <v>obj_00379#0000</v>
      </c>
      <c r="E3" s="37"/>
      <c r="F3" s="37"/>
      <c r="G3" s="29"/>
      <c r="H3" s="37"/>
      <c r="I3" s="37"/>
      <c r="K3" s="37"/>
    </row>
    <row r="4" spans="1:32" x14ac:dyDescent="0.2">
      <c r="A4" s="37"/>
      <c r="B4" s="34"/>
      <c r="C4" s="37"/>
      <c r="D4" s="37"/>
      <c r="E4" s="37"/>
      <c r="F4" s="37"/>
      <c r="G4" s="29"/>
      <c r="H4" s="37"/>
      <c r="I4" s="37"/>
      <c r="J4" s="37"/>
      <c r="K4" s="37"/>
      <c r="L4" s="37"/>
      <c r="M4" s="37"/>
    </row>
    <row r="5" spans="1:32" x14ac:dyDescent="0.2">
      <c r="A5" s="23"/>
      <c r="B5" s="10"/>
      <c r="C5" s="10" t="s">
        <v>37</v>
      </c>
      <c r="D5" s="10" t="s">
        <v>42</v>
      </c>
      <c r="E5" s="10" t="s">
        <v>49</v>
      </c>
      <c r="F5" s="10" t="s">
        <v>35</v>
      </c>
      <c r="G5" s="11" t="s">
        <v>34</v>
      </c>
      <c r="H5" s="11" t="s">
        <v>50</v>
      </c>
      <c r="I5" s="11" t="s">
        <v>51</v>
      </c>
      <c r="J5" s="23"/>
      <c r="K5" s="35"/>
      <c r="M5" s="35"/>
      <c r="N5" s="35"/>
      <c r="O5" s="35"/>
    </row>
    <row r="6" spans="1:32" x14ac:dyDescent="0.2">
      <c r="A6" s="23"/>
      <c r="B6" s="45"/>
      <c r="C6" s="62"/>
      <c r="D6" s="63"/>
      <c r="E6" s="63"/>
      <c r="F6" s="63"/>
      <c r="G6" s="60"/>
      <c r="H6" s="60"/>
      <c r="I6" s="60"/>
      <c r="J6" s="51"/>
      <c r="K6" s="111"/>
      <c r="M6" s="36"/>
      <c r="N6" s="36"/>
      <c r="O6" s="36"/>
    </row>
    <row r="7" spans="1:32" x14ac:dyDescent="0.2">
      <c r="A7" s="23"/>
      <c r="B7" s="46"/>
      <c r="C7" s="53"/>
      <c r="D7" s="54"/>
      <c r="E7" s="54"/>
      <c r="F7" s="54"/>
      <c r="G7" s="61"/>
      <c r="H7" s="61"/>
      <c r="I7" s="61"/>
      <c r="J7" s="51"/>
      <c r="K7" s="81"/>
      <c r="L7" s="34"/>
    </row>
    <row r="8" spans="1:32" x14ac:dyDescent="0.2">
      <c r="A8" s="23"/>
      <c r="B8" s="46"/>
      <c r="C8" s="53"/>
      <c r="D8" s="54"/>
      <c r="E8" s="54"/>
      <c r="F8" s="54"/>
      <c r="G8" s="61"/>
      <c r="H8" s="61"/>
      <c r="I8" s="61"/>
      <c r="J8" s="51"/>
      <c r="K8" s="81"/>
      <c r="L8" s="34"/>
    </row>
    <row r="9" spans="1:32" x14ac:dyDescent="0.2">
      <c r="A9" s="23"/>
      <c r="B9" s="46"/>
      <c r="C9" s="53"/>
      <c r="D9" s="166"/>
      <c r="E9" s="166"/>
      <c r="F9" s="166"/>
      <c r="G9" s="167"/>
      <c r="H9" s="21"/>
      <c r="I9" s="21"/>
      <c r="J9" s="51"/>
      <c r="K9" s="81"/>
      <c r="L9" s="34"/>
      <c r="M9" s="37"/>
      <c r="N9" s="37"/>
      <c r="O9" s="37"/>
    </row>
    <row r="10" spans="1:32" x14ac:dyDescent="0.2">
      <c r="A10" s="23"/>
      <c r="B10" s="46"/>
      <c r="C10" s="53"/>
      <c r="D10" s="166"/>
      <c r="E10" s="166"/>
      <c r="F10" s="166"/>
      <c r="G10" s="167"/>
      <c r="H10" s="21"/>
      <c r="I10" s="21"/>
      <c r="J10" s="51"/>
      <c r="K10" s="81"/>
      <c r="L10" s="34"/>
      <c r="M10" s="37"/>
      <c r="N10" s="37"/>
      <c r="O10" s="37"/>
    </row>
    <row r="11" spans="1:32" x14ac:dyDescent="0.2">
      <c r="A11" s="23"/>
      <c r="B11" s="46"/>
      <c r="C11" s="53"/>
      <c r="D11" s="166"/>
      <c r="E11" s="166"/>
      <c r="F11" s="166"/>
      <c r="G11" s="167"/>
      <c r="H11" s="21"/>
      <c r="I11" s="21"/>
      <c r="J11" s="51"/>
      <c r="K11" s="81"/>
      <c r="L11" s="34"/>
      <c r="M11" s="37"/>
      <c r="N11" s="37"/>
      <c r="O11" s="37"/>
    </row>
    <row r="12" spans="1:32" x14ac:dyDescent="0.2">
      <c r="A12" s="23"/>
      <c r="B12" s="46"/>
      <c r="C12" s="53"/>
      <c r="D12" s="166"/>
      <c r="E12" s="166"/>
      <c r="F12" s="166"/>
      <c r="G12" s="167"/>
      <c r="H12" s="21"/>
      <c r="I12" s="21"/>
      <c r="J12" s="51"/>
      <c r="K12" s="81"/>
      <c r="L12" s="34"/>
      <c r="M12" s="37"/>
      <c r="N12" s="37"/>
      <c r="O12" s="37"/>
    </row>
    <row r="13" spans="1:32" x14ac:dyDescent="0.2">
      <c r="A13" s="23"/>
      <c r="B13" s="46"/>
      <c r="C13" s="53"/>
      <c r="D13" s="166"/>
      <c r="E13" s="166"/>
      <c r="F13" s="166"/>
      <c r="G13" s="167"/>
      <c r="H13" s="21"/>
      <c r="I13" s="21"/>
      <c r="J13" s="51"/>
      <c r="K13" s="81"/>
      <c r="L13" s="23"/>
      <c r="M13" s="37"/>
      <c r="N13" s="37"/>
      <c r="O13" s="37"/>
    </row>
    <row r="14" spans="1:32" x14ac:dyDescent="0.2">
      <c r="A14" s="23"/>
      <c r="B14" s="46"/>
      <c r="C14" s="53"/>
      <c r="D14" s="166"/>
      <c r="E14" s="166"/>
      <c r="F14" s="166"/>
      <c r="G14" s="167"/>
      <c r="H14" s="21"/>
      <c r="I14" s="21"/>
      <c r="J14" s="51"/>
      <c r="K14" s="81"/>
      <c r="L14" s="23"/>
      <c r="M14" s="37"/>
      <c r="N14" s="37"/>
      <c r="O14" s="37"/>
    </row>
    <row r="15" spans="1:32" x14ac:dyDescent="0.2">
      <c r="A15" s="23"/>
      <c r="B15" s="46"/>
      <c r="C15" s="53"/>
      <c r="D15" s="166"/>
      <c r="E15" s="166"/>
      <c r="F15" s="166"/>
      <c r="G15" s="167"/>
      <c r="H15" s="21"/>
      <c r="I15" s="21"/>
      <c r="J15" s="51"/>
      <c r="K15" s="81"/>
      <c r="L15" s="23"/>
      <c r="M15" s="37"/>
      <c r="N15" s="37"/>
      <c r="O15" s="37"/>
    </row>
    <row r="16" spans="1:32" x14ac:dyDescent="0.2">
      <c r="A16" s="23"/>
      <c r="B16" s="46"/>
      <c r="C16" s="53"/>
      <c r="D16" s="166"/>
      <c r="E16" s="166"/>
      <c r="F16" s="166"/>
      <c r="G16" s="167"/>
      <c r="H16" s="21"/>
      <c r="I16" s="21"/>
      <c r="J16" s="51"/>
      <c r="K16" s="81"/>
      <c r="L16" s="23"/>
      <c r="M16" s="37"/>
      <c r="N16" s="34"/>
      <c r="O16" s="37"/>
      <c r="R16" s="69"/>
      <c r="S16" s="69"/>
      <c r="T16" s="69"/>
      <c r="U16" s="69"/>
      <c r="V16" s="69"/>
      <c r="W16" s="69"/>
      <c r="X16" s="69"/>
      <c r="Y16" s="69"/>
      <c r="Z16" s="69"/>
      <c r="AA16" s="69"/>
      <c r="AB16" s="69"/>
      <c r="AC16" s="69"/>
      <c r="AD16" s="69"/>
      <c r="AE16" s="69"/>
      <c r="AF16" s="69"/>
    </row>
    <row r="17" spans="1:42" x14ac:dyDescent="0.2">
      <c r="A17" s="23"/>
      <c r="B17" s="46"/>
      <c r="C17" s="53"/>
      <c r="D17" s="166"/>
      <c r="E17" s="166"/>
      <c r="F17" s="166"/>
      <c r="G17" s="167"/>
      <c r="H17" s="21"/>
      <c r="I17" s="21"/>
      <c r="J17" s="51"/>
      <c r="K17" s="81"/>
      <c r="L17" s="23"/>
      <c r="M17" s="37"/>
      <c r="N17" s="34"/>
      <c r="O17" s="37"/>
      <c r="R17" s="72"/>
      <c r="S17" s="73"/>
      <c r="T17" s="72"/>
      <c r="U17" s="70"/>
      <c r="V17" s="72"/>
      <c r="W17" s="158"/>
      <c r="X17" s="159"/>
      <c r="Y17" s="159"/>
      <c r="Z17" s="160"/>
      <c r="AA17" s="159"/>
      <c r="AB17" s="159"/>
      <c r="AC17" s="159"/>
      <c r="AD17" s="159"/>
      <c r="AE17" s="159"/>
      <c r="AF17" s="73"/>
      <c r="AG17" s="68"/>
      <c r="AH17" s="68"/>
      <c r="AI17" s="68"/>
      <c r="AJ17" s="68"/>
      <c r="AK17" s="68"/>
      <c r="AL17" s="68"/>
      <c r="AM17" s="68"/>
      <c r="AN17" s="68"/>
      <c r="AO17" s="68"/>
      <c r="AP17" s="68"/>
    </row>
    <row r="18" spans="1:42" x14ac:dyDescent="0.2">
      <c r="A18" s="23"/>
      <c r="B18" s="46"/>
      <c r="C18" s="53"/>
      <c r="D18" s="166"/>
      <c r="E18" s="166"/>
      <c r="F18" s="166"/>
      <c r="G18" s="167"/>
      <c r="H18" s="21"/>
      <c r="I18" s="21"/>
      <c r="J18" s="51"/>
      <c r="K18" s="81"/>
      <c r="L18" s="34"/>
      <c r="M18" s="37"/>
      <c r="N18" s="34"/>
      <c r="O18" s="37"/>
      <c r="R18" s="72"/>
      <c r="S18" s="73"/>
      <c r="T18" s="72"/>
      <c r="U18" s="70"/>
      <c r="V18" s="72"/>
      <c r="W18" s="158"/>
      <c r="X18" s="159"/>
      <c r="Y18" s="159"/>
      <c r="Z18" s="160"/>
      <c r="AA18" s="159"/>
      <c r="AB18" s="159"/>
      <c r="AC18" s="159"/>
      <c r="AD18" s="159"/>
      <c r="AE18" s="159"/>
      <c r="AF18" s="73"/>
      <c r="AG18" s="68"/>
      <c r="AH18" s="68"/>
      <c r="AI18" s="68"/>
      <c r="AJ18" s="68"/>
      <c r="AK18" s="68"/>
      <c r="AL18" s="68"/>
      <c r="AM18" s="68"/>
      <c r="AN18" s="68"/>
      <c r="AO18" s="68"/>
      <c r="AP18" s="68"/>
    </row>
    <row r="19" spans="1:42" x14ac:dyDescent="0.2">
      <c r="A19" s="23"/>
      <c r="B19" s="46"/>
      <c r="C19" s="53"/>
      <c r="D19" s="166"/>
      <c r="E19" s="166"/>
      <c r="F19" s="166"/>
      <c r="G19" s="167"/>
      <c r="H19" s="21"/>
      <c r="I19" s="21"/>
      <c r="J19" s="51"/>
      <c r="K19" s="81"/>
      <c r="L19" s="34"/>
      <c r="M19" s="37"/>
      <c r="N19" s="34"/>
      <c r="O19" s="37"/>
      <c r="R19" s="72"/>
      <c r="S19" s="73"/>
      <c r="T19" s="72"/>
      <c r="U19" s="70"/>
      <c r="V19" s="72"/>
      <c r="W19" s="158"/>
      <c r="X19" s="159"/>
      <c r="Y19" s="159"/>
      <c r="Z19" s="160"/>
      <c r="AA19" s="159"/>
      <c r="AB19" s="159"/>
      <c r="AC19" s="159"/>
      <c r="AD19" s="159"/>
      <c r="AE19" s="159"/>
      <c r="AF19" s="73"/>
      <c r="AG19" s="68"/>
      <c r="AH19" s="68"/>
      <c r="AI19" s="68"/>
      <c r="AJ19" s="68"/>
      <c r="AK19" s="68"/>
      <c r="AL19" s="68"/>
      <c r="AM19" s="68"/>
      <c r="AN19" s="68"/>
      <c r="AO19" s="68"/>
      <c r="AP19" s="68"/>
    </row>
    <row r="20" spans="1:42" x14ac:dyDescent="0.2">
      <c r="A20" s="23"/>
      <c r="B20" s="46"/>
      <c r="C20" s="53"/>
      <c r="D20" s="166"/>
      <c r="E20" s="166"/>
      <c r="F20" s="166"/>
      <c r="G20" s="167"/>
      <c r="H20" s="21"/>
      <c r="I20" s="21"/>
      <c r="J20" s="51"/>
      <c r="K20" s="81"/>
      <c r="L20" s="34"/>
      <c r="M20" s="37"/>
      <c r="N20" s="34"/>
      <c r="O20" s="37"/>
      <c r="R20" s="72"/>
      <c r="S20" s="73"/>
      <c r="T20" s="72"/>
      <c r="U20" s="70"/>
      <c r="V20" s="72"/>
      <c r="W20" s="158"/>
      <c r="X20" s="159"/>
      <c r="Y20" s="159"/>
      <c r="Z20" s="160"/>
      <c r="AA20" s="159"/>
      <c r="AB20" s="159"/>
      <c r="AC20" s="159"/>
      <c r="AD20" s="159"/>
      <c r="AE20" s="159"/>
      <c r="AF20" s="73"/>
      <c r="AG20" s="68"/>
      <c r="AH20" s="68"/>
      <c r="AI20" s="68"/>
      <c r="AJ20" s="68"/>
      <c r="AK20" s="68"/>
      <c r="AL20" s="68"/>
      <c r="AM20" s="68"/>
      <c r="AN20" s="68"/>
      <c r="AO20" s="68"/>
      <c r="AP20" s="68"/>
    </row>
    <row r="21" spans="1:42" x14ac:dyDescent="0.2">
      <c r="A21" s="23"/>
      <c r="B21" s="46"/>
      <c r="C21" s="53"/>
      <c r="D21" s="166"/>
      <c r="E21" s="166"/>
      <c r="F21" s="166"/>
      <c r="G21" s="167"/>
      <c r="H21" s="21"/>
      <c r="I21" s="21"/>
      <c r="J21" s="51"/>
      <c r="K21" s="81"/>
      <c r="L21" s="34"/>
      <c r="M21" s="37"/>
      <c r="N21" s="34"/>
      <c r="O21" s="34"/>
      <c r="R21" s="72"/>
      <c r="S21" s="73"/>
      <c r="T21" s="72"/>
      <c r="U21" s="70"/>
      <c r="V21" s="72"/>
      <c r="W21" s="158"/>
      <c r="X21" s="159"/>
      <c r="Y21" s="159"/>
      <c r="Z21" s="160"/>
      <c r="AA21" s="159"/>
      <c r="AB21" s="159"/>
      <c r="AC21" s="159"/>
      <c r="AD21" s="159"/>
      <c r="AE21" s="159"/>
      <c r="AF21" s="73"/>
      <c r="AG21" s="68"/>
      <c r="AH21" s="68"/>
      <c r="AI21" s="68"/>
      <c r="AJ21" s="68"/>
      <c r="AK21" s="68"/>
      <c r="AL21" s="68"/>
      <c r="AM21" s="68"/>
      <c r="AN21" s="68"/>
      <c r="AO21" s="68"/>
      <c r="AP21" s="68"/>
    </row>
    <row r="22" spans="1:42" x14ac:dyDescent="0.2">
      <c r="A22" s="23"/>
      <c r="B22" s="46"/>
      <c r="C22" s="53"/>
      <c r="D22" s="166"/>
      <c r="E22" s="166"/>
      <c r="F22" s="166"/>
      <c r="G22" s="167"/>
      <c r="H22" s="21"/>
      <c r="I22" s="21"/>
      <c r="J22" s="51"/>
      <c r="K22" s="81"/>
      <c r="L22" s="34"/>
      <c r="M22" s="37"/>
      <c r="N22" s="34"/>
      <c r="O22" s="34"/>
      <c r="R22" s="72"/>
      <c r="S22" s="73"/>
      <c r="T22" s="72"/>
      <c r="U22" s="70"/>
      <c r="V22" s="72"/>
      <c r="W22" s="158"/>
      <c r="X22" s="159"/>
      <c r="Y22" s="159"/>
      <c r="Z22" s="160"/>
      <c r="AA22" s="159"/>
      <c r="AB22" s="159"/>
      <c r="AC22" s="159"/>
      <c r="AD22" s="159"/>
      <c r="AE22" s="159"/>
      <c r="AF22" s="73"/>
      <c r="AG22" s="68"/>
      <c r="AH22" s="68"/>
      <c r="AI22" s="68"/>
      <c r="AJ22" s="68"/>
      <c r="AK22" s="68"/>
      <c r="AL22" s="68"/>
      <c r="AM22" s="68"/>
      <c r="AN22" s="68"/>
      <c r="AO22" s="68"/>
      <c r="AP22" s="68"/>
    </row>
    <row r="23" spans="1:42" x14ac:dyDescent="0.2">
      <c r="A23" s="23"/>
      <c r="B23" s="46"/>
      <c r="C23" s="53"/>
      <c r="D23" s="166"/>
      <c r="E23" s="166"/>
      <c r="F23" s="166"/>
      <c r="G23" s="167"/>
      <c r="H23" s="21"/>
      <c r="I23" s="21"/>
      <c r="J23" s="51"/>
      <c r="K23" s="82"/>
      <c r="L23" s="34"/>
      <c r="M23" s="34"/>
      <c r="N23" s="34"/>
      <c r="O23" s="34"/>
      <c r="R23" s="72"/>
      <c r="S23" s="73"/>
      <c r="T23" s="72"/>
      <c r="U23" s="70"/>
      <c r="V23" s="72"/>
      <c r="W23" s="158"/>
      <c r="X23" s="159"/>
      <c r="Y23" s="159"/>
      <c r="Z23" s="160"/>
      <c r="AA23" s="159"/>
      <c r="AB23" s="159"/>
      <c r="AC23" s="159"/>
      <c r="AD23" s="159"/>
      <c r="AE23" s="159"/>
      <c r="AF23" s="73"/>
      <c r="AG23" s="68"/>
      <c r="AH23" s="68"/>
      <c r="AI23" s="68"/>
      <c r="AJ23" s="68"/>
      <c r="AK23" s="68"/>
      <c r="AL23" s="68"/>
      <c r="AM23" s="68"/>
      <c r="AN23" s="68"/>
      <c r="AO23" s="68"/>
      <c r="AP23" s="68"/>
    </row>
    <row r="24" spans="1:42" x14ac:dyDescent="0.2">
      <c r="A24" s="23"/>
      <c r="B24" s="170"/>
      <c r="C24" s="171"/>
      <c r="D24" s="180"/>
      <c r="E24" s="180"/>
      <c r="F24" s="180"/>
      <c r="G24" s="181"/>
      <c r="H24" s="182"/>
      <c r="I24" s="182"/>
      <c r="J24" s="51"/>
      <c r="K24" s="37"/>
      <c r="L24" s="34"/>
      <c r="M24" s="34"/>
      <c r="N24" s="34"/>
      <c r="O24" s="34"/>
      <c r="R24" s="72"/>
      <c r="S24" s="73"/>
      <c r="T24" s="72"/>
      <c r="U24" s="70"/>
      <c r="V24" s="72"/>
      <c r="W24" s="158"/>
      <c r="X24" s="159"/>
      <c r="Y24" s="159"/>
      <c r="Z24" s="160"/>
      <c r="AA24" s="159"/>
      <c r="AB24" s="159"/>
      <c r="AC24" s="159"/>
      <c r="AD24" s="159"/>
      <c r="AE24" s="159"/>
      <c r="AF24" s="73"/>
      <c r="AG24" s="68"/>
      <c r="AH24" s="68"/>
      <c r="AI24" s="68"/>
      <c r="AJ24" s="68"/>
      <c r="AK24" s="68"/>
      <c r="AL24" s="68"/>
      <c r="AM24" s="68"/>
      <c r="AN24" s="68"/>
      <c r="AO24" s="68"/>
      <c r="AP24" s="68"/>
    </row>
    <row r="25" spans="1:42" x14ac:dyDescent="0.2">
      <c r="A25" s="23"/>
      <c r="B25" s="106"/>
      <c r="C25" s="101"/>
      <c r="D25" s="101"/>
      <c r="E25" s="101"/>
      <c r="F25" s="101"/>
      <c r="G25" s="107"/>
      <c r="H25" s="101"/>
      <c r="I25" s="101"/>
      <c r="J25" s="51"/>
      <c r="K25" s="37"/>
      <c r="L25" s="34"/>
      <c r="M25" s="34"/>
    </row>
    <row r="26" spans="1:42" x14ac:dyDescent="0.2">
      <c r="A26" s="23"/>
      <c r="B26" s="102"/>
      <c r="C26" s="103"/>
      <c r="D26" s="103"/>
      <c r="E26" s="103"/>
      <c r="F26" s="103"/>
      <c r="G26" s="108"/>
      <c r="H26" s="103"/>
      <c r="I26" s="103"/>
      <c r="J26" s="51"/>
      <c r="K26" s="37"/>
      <c r="L26" s="34"/>
      <c r="M26" s="34"/>
    </row>
    <row r="27" spans="1:42" x14ac:dyDescent="0.2">
      <c r="A27" s="23"/>
      <c r="B27" s="102"/>
      <c r="C27" s="103"/>
      <c r="D27" s="103"/>
      <c r="E27" s="103"/>
      <c r="F27" s="103"/>
      <c r="G27" s="108"/>
      <c r="H27" s="103"/>
      <c r="I27" s="103"/>
      <c r="J27" s="51"/>
      <c r="K27" s="37"/>
      <c r="L27" s="34"/>
      <c r="M27" s="34"/>
    </row>
    <row r="28" spans="1:42" x14ac:dyDescent="0.2">
      <c r="A28" s="23"/>
      <c r="B28" s="102"/>
      <c r="C28" s="103"/>
      <c r="D28" s="103"/>
      <c r="E28" s="103"/>
      <c r="F28" s="103"/>
      <c r="G28" s="108"/>
      <c r="H28" s="103"/>
      <c r="I28" s="103"/>
      <c r="J28" s="51"/>
      <c r="K28" s="37"/>
      <c r="L28" s="34"/>
      <c r="M28" s="34"/>
    </row>
    <row r="29" spans="1:42" x14ac:dyDescent="0.2">
      <c r="A29" s="23"/>
      <c r="B29" s="102"/>
      <c r="C29" s="103"/>
      <c r="D29" s="103"/>
      <c r="E29" s="103"/>
      <c r="F29" s="103"/>
      <c r="G29" s="108"/>
      <c r="H29" s="103"/>
      <c r="I29" s="103"/>
      <c r="J29" s="51"/>
      <c r="K29" s="37"/>
      <c r="L29" s="34"/>
      <c r="M29" s="34"/>
    </row>
    <row r="30" spans="1:42" x14ac:dyDescent="0.2">
      <c r="A30" s="23"/>
      <c r="B30" s="102"/>
      <c r="C30" s="103"/>
      <c r="D30" s="103"/>
      <c r="E30" s="103"/>
      <c r="F30" s="103"/>
      <c r="G30" s="108"/>
      <c r="H30" s="103"/>
      <c r="I30" s="103"/>
      <c r="J30" s="51"/>
      <c r="K30" s="37"/>
      <c r="L30" s="34"/>
      <c r="M30" s="34"/>
    </row>
    <row r="31" spans="1:42" x14ac:dyDescent="0.2">
      <c r="A31" s="37"/>
      <c r="B31" s="102"/>
      <c r="C31" s="103"/>
      <c r="D31" s="103"/>
      <c r="E31" s="103"/>
      <c r="F31" s="103"/>
      <c r="G31" s="108"/>
      <c r="H31" s="103"/>
      <c r="I31" s="103"/>
      <c r="J31" s="51"/>
      <c r="K31" s="37"/>
      <c r="L31" s="34"/>
      <c r="M31" s="34"/>
    </row>
    <row r="32" spans="1:42" x14ac:dyDescent="0.2">
      <c r="A32" s="37"/>
      <c r="B32" s="104"/>
      <c r="C32" s="105"/>
      <c r="D32" s="105"/>
      <c r="E32" s="105"/>
      <c r="F32" s="105"/>
      <c r="G32" s="109"/>
      <c r="H32" s="105"/>
      <c r="I32" s="105"/>
      <c r="J32" s="51"/>
      <c r="K32" s="64" t="s">
        <v>36</v>
      </c>
      <c r="M32" s="64" t="s">
        <v>32</v>
      </c>
      <c r="N32" s="64" t="s">
        <v>54</v>
      </c>
      <c r="O32" s="64" t="s">
        <v>33</v>
      </c>
    </row>
    <row r="33" spans="2:16" s="2" customFormat="1" x14ac:dyDescent="0.2">
      <c r="B33" s="46" t="s">
        <v>22</v>
      </c>
      <c r="C33" s="53" t="s">
        <v>98</v>
      </c>
      <c r="D33" s="54">
        <f>_xll.qlInterestRateIndexFixingDate(IborIndex,EffectiveDate,Trigger)</f>
        <v>42255</v>
      </c>
      <c r="E33" s="54">
        <f>_xll.qlInterestRateIndexValueDate(K33,D33)</f>
        <v>42257</v>
      </c>
      <c r="F33" s="54">
        <f>_xll.qlInterestRateIndexMaturity(K33,E33)</f>
        <v>42625</v>
      </c>
      <c r="G33" s="61">
        <f>_xll.qlIndexFixing(K33,D33,TRUE,AllTriggers)</f>
        <v>5.4036212005767401E-3</v>
      </c>
      <c r="H33" s="61" t="str">
        <f>"USD_CURVE_STD_"&amp;B33</f>
        <v>USD_CURVE_STD_1Y</v>
      </c>
      <c r="I33" s="61" t="s">
        <v>157</v>
      </c>
      <c r="J33" s="51"/>
      <c r="K33" s="52" t="str">
        <f>_xll.qlSwapIndex(,"No Fix",B33,SettlementDays,Currency,Calendar,$M$33,$N$33,$O$33,IborIndex,YieldCurve,,Trigger)</f>
        <v>obj_003b7#0000</v>
      </c>
      <c r="L33" s="4"/>
      <c r="M33" s="65" t="s">
        <v>22</v>
      </c>
      <c r="N33" s="65" t="s">
        <v>39</v>
      </c>
      <c r="O33" s="65" t="s">
        <v>99</v>
      </c>
      <c r="P33" s="70"/>
    </row>
    <row r="34" spans="2:16" s="2" customFormat="1" x14ac:dyDescent="0.2">
      <c r="B34" s="46"/>
      <c r="C34" s="53"/>
      <c r="D34" s="54"/>
      <c r="E34" s="54"/>
      <c r="F34" s="54"/>
      <c r="G34" s="61"/>
      <c r="H34" s="61"/>
      <c r="I34" s="61"/>
      <c r="J34" s="51"/>
      <c r="K34" s="52"/>
      <c r="L34" s="4"/>
      <c r="M34" s="70"/>
      <c r="N34" s="71"/>
      <c r="O34" s="71"/>
      <c r="P34" s="70"/>
    </row>
    <row r="35" spans="2:16" s="2" customFormat="1" x14ac:dyDescent="0.2">
      <c r="B35" s="46"/>
      <c r="C35" s="53"/>
      <c r="D35" s="54"/>
      <c r="E35" s="54"/>
      <c r="F35" s="54"/>
      <c r="G35" s="61"/>
      <c r="H35" s="61"/>
      <c r="I35" s="61"/>
      <c r="J35" s="51"/>
      <c r="K35" s="52"/>
      <c r="L35" s="4"/>
      <c r="M35" s="66"/>
      <c r="N35" s="67"/>
      <c r="O35" s="67"/>
      <c r="P35" s="66"/>
    </row>
    <row r="36" spans="2:16" s="2" customFormat="1" x14ac:dyDescent="0.2">
      <c r="B36" s="46"/>
      <c r="C36" s="53"/>
      <c r="D36" s="54"/>
      <c r="E36" s="54"/>
      <c r="F36" s="54"/>
      <c r="G36" s="61"/>
      <c r="H36" s="61"/>
      <c r="I36" s="61"/>
      <c r="J36" s="51"/>
      <c r="K36" s="52"/>
      <c r="L36" s="4"/>
      <c r="M36" s="4"/>
      <c r="N36" s="4"/>
      <c r="O36" s="4"/>
      <c r="P36" s="4"/>
    </row>
    <row r="37" spans="2:16" s="2" customFormat="1" x14ac:dyDescent="0.2">
      <c r="B37" s="46" t="s">
        <v>23</v>
      </c>
      <c r="C37" s="53" t="s">
        <v>98</v>
      </c>
      <c r="D37" s="54">
        <f>_xll.qlInterestRateIndexFixingDate(IborIndex,EffectiveDate,Trigger)</f>
        <v>42255</v>
      </c>
      <c r="E37" s="54">
        <f>_xll.qlInterestRateIndexValueDate(K37,D37)</f>
        <v>42257</v>
      </c>
      <c r="F37" s="54">
        <f>_xll.qlInterestRateIndexMaturity(K37,E37)</f>
        <v>42989</v>
      </c>
      <c r="G37" s="61">
        <f>_xll.qlIndexFixing(K37,D37,TRUE,AllTriggers)</f>
        <v>8.4599999999997264E-3</v>
      </c>
      <c r="H37" s="61" t="str">
        <f t="shared" ref="H37:H68" si="0">"USD_CURVE_STD_"&amp;B37</f>
        <v>USD_CURVE_STD_2Y</v>
      </c>
      <c r="I37" s="61" t="s">
        <v>158</v>
      </c>
      <c r="J37" s="51"/>
      <c r="K37" s="52" t="str">
        <f>_xll.qlSwapIndex(,"No Fix",B37,SettlementDays,Currency,Calendar,$M$33,$N$33,$O$33,IborIndex,YieldCurve,,Trigger)</f>
        <v>obj_003c7#0000</v>
      </c>
      <c r="L37" s="4"/>
      <c r="M37" s="4"/>
      <c r="N37" s="4"/>
      <c r="O37" s="4"/>
      <c r="P37" s="4"/>
    </row>
    <row r="38" spans="2:16" s="2" customFormat="1" x14ac:dyDescent="0.2">
      <c r="B38" s="46" t="s">
        <v>24</v>
      </c>
      <c r="C38" s="53" t="s">
        <v>98</v>
      </c>
      <c r="D38" s="54">
        <f>_xll.qlInterestRateIndexFixingDate(IborIndex,EffectiveDate,Trigger)</f>
        <v>42255</v>
      </c>
      <c r="E38" s="54">
        <f>_xll.qlInterestRateIndexValueDate(K38,D38)</f>
        <v>42257</v>
      </c>
      <c r="F38" s="54">
        <f>_xll.qlInterestRateIndexMaturity(K38,E38)</f>
        <v>43353</v>
      </c>
      <c r="G38" s="61">
        <f>_xll.qlIndexFixing(K38,D38,TRUE,AllTriggers)</f>
        <v>1.1239999999999995E-2</v>
      </c>
      <c r="H38" s="61" t="str">
        <f t="shared" si="0"/>
        <v>USD_CURVE_STD_3Y</v>
      </c>
      <c r="I38" s="61" t="s">
        <v>159</v>
      </c>
      <c r="J38" s="51"/>
      <c r="K38" s="52" t="str">
        <f>_xll.qlSwapIndex(,"No Fix",B38,SettlementDays,Currency,Calendar,$M$33,$N$33,$O$33,IborIndex,YieldCurve,,Trigger)</f>
        <v>obj_003c0#0000</v>
      </c>
      <c r="L38" s="4"/>
      <c r="M38" s="4"/>
      <c r="N38" s="4"/>
      <c r="O38" s="4"/>
      <c r="P38" s="4"/>
    </row>
    <row r="39" spans="2:16" s="2" customFormat="1" x14ac:dyDescent="0.2">
      <c r="B39" s="46" t="s">
        <v>25</v>
      </c>
      <c r="C39" s="53" t="s">
        <v>98</v>
      </c>
      <c r="D39" s="54">
        <f>_xll.qlInterestRateIndexFixingDate(IborIndex,EffectiveDate,Trigger)</f>
        <v>42255</v>
      </c>
      <c r="E39" s="54">
        <f>_xll.qlInterestRateIndexValueDate(K39,D39)</f>
        <v>42257</v>
      </c>
      <c r="F39" s="54">
        <f>_xll.qlInterestRateIndexMaturity(K39,E39)</f>
        <v>43718</v>
      </c>
      <c r="G39" s="61">
        <f>_xll.qlIndexFixing(K39,D39,TRUE,AllTriggers)</f>
        <v>1.3639999999999956E-2</v>
      </c>
      <c r="H39" s="61" t="str">
        <f t="shared" si="0"/>
        <v>USD_CURVE_STD_4Y</v>
      </c>
      <c r="I39" s="61" t="s">
        <v>160</v>
      </c>
      <c r="J39" s="51"/>
      <c r="K39" s="52" t="str">
        <f>_xll.qlSwapIndex(,"No Fix",B39,SettlementDays,Currency,Calendar,$M$33,$N$33,$O$33,IborIndex,YieldCurve,,Trigger)</f>
        <v>obj_003b5#0000</v>
      </c>
      <c r="L39" s="4"/>
      <c r="M39" s="4"/>
      <c r="N39" s="4"/>
      <c r="O39" s="4"/>
      <c r="P39" s="4"/>
    </row>
    <row r="40" spans="2:16" s="2" customFormat="1" x14ac:dyDescent="0.2">
      <c r="B40" s="46" t="s">
        <v>26</v>
      </c>
      <c r="C40" s="53" t="s">
        <v>98</v>
      </c>
      <c r="D40" s="54">
        <f>_xll.qlInterestRateIndexFixingDate(IborIndex,EffectiveDate,Trigger)</f>
        <v>42255</v>
      </c>
      <c r="E40" s="54">
        <f>_xll.qlInterestRateIndexValueDate(K40,D40)</f>
        <v>42257</v>
      </c>
      <c r="F40" s="54">
        <f>_xll.qlInterestRateIndexMaturity(K40,E40)</f>
        <v>44084</v>
      </c>
      <c r="G40" s="61">
        <f>_xll.qlIndexFixing(K40,D40,TRUE,AllTriggers)</f>
        <v>1.5710000000000019E-2</v>
      </c>
      <c r="H40" s="61" t="str">
        <f t="shared" si="0"/>
        <v>USD_CURVE_STD_5Y</v>
      </c>
      <c r="I40" s="61" t="s">
        <v>161</v>
      </c>
      <c r="J40" s="51"/>
      <c r="K40" s="52" t="str">
        <f>_xll.qlSwapIndex(,"No Fix",B40,SettlementDays,Currency,Calendar,$M$33,$N$33,$O$33,IborIndex,YieldCurve,,Trigger)</f>
        <v>obj_003bd#0000</v>
      </c>
      <c r="L40" s="4"/>
      <c r="M40" s="4"/>
      <c r="N40" s="4"/>
      <c r="O40" s="4"/>
      <c r="P40" s="4"/>
    </row>
    <row r="41" spans="2:16" s="2" customFormat="1" x14ac:dyDescent="0.2">
      <c r="B41" s="46" t="s">
        <v>72</v>
      </c>
      <c r="C41" s="53" t="s">
        <v>98</v>
      </c>
      <c r="D41" s="54">
        <f>_xll.qlInterestRateIndexFixingDate(IborIndex,EffectiveDate,Trigger)</f>
        <v>42255</v>
      </c>
      <c r="E41" s="54">
        <f>_xll.qlInterestRateIndexValueDate(K41,D41)</f>
        <v>42257</v>
      </c>
      <c r="F41" s="54">
        <f>_xll.qlInterestRateIndexMaturity(K41,E41)</f>
        <v>44449</v>
      </c>
      <c r="G41" s="61">
        <f>_xll.qlIndexFixing(K41,D41,TRUE,AllTriggers)</f>
        <v>1.7469999999999975E-2</v>
      </c>
      <c r="H41" s="61" t="str">
        <f t="shared" si="0"/>
        <v>USD_CURVE_STD_6Y</v>
      </c>
      <c r="I41" s="61" t="s">
        <v>162</v>
      </c>
      <c r="J41" s="51"/>
      <c r="K41" s="52" t="str">
        <f>_xll.qlSwapIndex(,"No Fix",B41,SettlementDays,Currency,Calendar,$M$33,$N$33,$O$33,IborIndex,YieldCurve,,Trigger)</f>
        <v>obj_003c5#0000</v>
      </c>
      <c r="L41" s="4"/>
      <c r="M41" s="4"/>
      <c r="N41" s="4"/>
      <c r="O41" s="4"/>
      <c r="P41" s="4"/>
    </row>
    <row r="42" spans="2:16" s="2" customFormat="1" x14ac:dyDescent="0.2">
      <c r="B42" s="46" t="s">
        <v>27</v>
      </c>
      <c r="C42" s="53" t="s">
        <v>98</v>
      </c>
      <c r="D42" s="54">
        <f>_xll.qlInterestRateIndexFixingDate(IborIndex,EffectiveDate,Trigger)</f>
        <v>42255</v>
      </c>
      <c r="E42" s="54">
        <f>_xll.qlInterestRateIndexValueDate(K42,D42)</f>
        <v>42257</v>
      </c>
      <c r="F42" s="54">
        <f>_xll.qlInterestRateIndexMaturity(K42,E42)</f>
        <v>44816</v>
      </c>
      <c r="G42" s="61">
        <f>_xll.qlIndexFixing(K42,D42,TRUE,AllTriggers)</f>
        <v>1.8949999999999967E-2</v>
      </c>
      <c r="H42" s="61" t="str">
        <f t="shared" si="0"/>
        <v>USD_CURVE_STD_7Y</v>
      </c>
      <c r="I42" s="61" t="s">
        <v>163</v>
      </c>
      <c r="J42" s="51"/>
      <c r="K42" s="52" t="str">
        <f>_xll.qlSwapIndex(,"No Fix",B42,SettlementDays,Currency,Calendar,$M$33,$N$33,$O$33,IborIndex,YieldCurve,,Trigger)</f>
        <v>obj_003c9#0000</v>
      </c>
      <c r="L42" s="4"/>
      <c r="M42" s="4"/>
      <c r="N42" s="4"/>
      <c r="O42" s="4"/>
      <c r="P42" s="4"/>
    </row>
    <row r="43" spans="2:16" s="2" customFormat="1" x14ac:dyDescent="0.2">
      <c r="B43" s="46" t="s">
        <v>73</v>
      </c>
      <c r="C43" s="53" t="s">
        <v>98</v>
      </c>
      <c r="D43" s="54">
        <f>_xll.qlInterestRateIndexFixingDate(IborIndex,EffectiveDate,Trigger)</f>
        <v>42255</v>
      </c>
      <c r="E43" s="54">
        <f>_xll.qlInterestRateIndexValueDate(K43,D43)</f>
        <v>42257</v>
      </c>
      <c r="F43" s="54">
        <f>_xll.qlInterestRateIndexMaturity(K43,E43)</f>
        <v>45180</v>
      </c>
      <c r="G43" s="61">
        <f>_xll.qlIndexFixing(K43,D43,TRUE,AllTriggers)</f>
        <v>2.0169999999999945E-2</v>
      </c>
      <c r="H43" s="61" t="str">
        <f t="shared" si="0"/>
        <v>USD_CURVE_STD_8Y</v>
      </c>
      <c r="I43" s="61" t="s">
        <v>164</v>
      </c>
      <c r="J43" s="51"/>
      <c r="K43" s="52" t="str">
        <f>_xll.qlSwapIndex(,"No Fix",B43,SettlementDays,Currency,Calendar,$M$33,$N$33,$O$33,IborIndex,YieldCurve,,Trigger)</f>
        <v>obj_003cb#0000</v>
      </c>
      <c r="L43" s="4"/>
      <c r="M43" s="4"/>
      <c r="N43" s="4"/>
      <c r="O43" s="4"/>
      <c r="P43" s="4"/>
    </row>
    <row r="44" spans="2:16" s="2" customFormat="1" x14ac:dyDescent="0.2">
      <c r="B44" s="46" t="s">
        <v>74</v>
      </c>
      <c r="C44" s="53" t="s">
        <v>98</v>
      </c>
      <c r="D44" s="54">
        <f>_xll.qlInterestRateIndexFixingDate(IborIndex,EffectiveDate,Trigger)</f>
        <v>42255</v>
      </c>
      <c r="E44" s="54">
        <f>_xll.qlInterestRateIndexValueDate(K44,D44)</f>
        <v>42257</v>
      </c>
      <c r="F44" s="54">
        <f>_xll.qlInterestRateIndexMaturity(K44,E44)</f>
        <v>45545</v>
      </c>
      <c r="G44" s="61">
        <f>_xll.qlIndexFixing(K44,D44,TRUE,AllTriggers)</f>
        <v>2.1169999999999925E-2</v>
      </c>
      <c r="H44" s="61" t="str">
        <f t="shared" si="0"/>
        <v>USD_CURVE_STD_9Y</v>
      </c>
      <c r="I44" s="61" t="s">
        <v>165</v>
      </c>
      <c r="J44" s="51"/>
      <c r="K44" s="52" t="str">
        <f>_xll.qlSwapIndex(,"No Fix",B44,SettlementDays,Currency,Calendar,$M$33,$N$33,$O$33,IborIndex,YieldCurve,,Trigger)</f>
        <v>obj_003ae#0000</v>
      </c>
      <c r="L44" s="4"/>
      <c r="M44" s="4"/>
      <c r="N44" s="4"/>
      <c r="O44" s="4"/>
      <c r="P44" s="4"/>
    </row>
    <row r="45" spans="2:16" s="2" customFormat="1" x14ac:dyDescent="0.2">
      <c r="B45" s="46" t="s">
        <v>28</v>
      </c>
      <c r="C45" s="53" t="s">
        <v>98</v>
      </c>
      <c r="D45" s="54">
        <f>_xll.qlInterestRateIndexFixingDate(IborIndex,EffectiveDate,Trigger)</f>
        <v>42255</v>
      </c>
      <c r="E45" s="54">
        <f>_xll.qlInterestRateIndexValueDate(K45,D45)</f>
        <v>42257</v>
      </c>
      <c r="F45" s="54">
        <f>_xll.qlInterestRateIndexMaturity(K45,E45)</f>
        <v>45910</v>
      </c>
      <c r="G45" s="61">
        <f>_xll.qlIndexFixing(K45,D45,TRUE,AllTriggers)</f>
        <v>2.1999999999999888E-2</v>
      </c>
      <c r="H45" s="61" t="str">
        <f t="shared" si="0"/>
        <v>USD_CURVE_STD_10Y</v>
      </c>
      <c r="I45" s="61" t="s">
        <v>166</v>
      </c>
      <c r="J45" s="51"/>
      <c r="K45" s="52" t="str">
        <f>_xll.qlSwapIndex(,"No Fix",B45,SettlementDays,Currency,Calendar,$M$33,$N$33,$O$33,IborIndex,YieldCurve,,Trigger)</f>
        <v>obj_003c2#0000</v>
      </c>
      <c r="L45" s="4"/>
      <c r="M45" s="4"/>
      <c r="N45" s="4"/>
      <c r="O45" s="4"/>
      <c r="P45" s="4"/>
    </row>
    <row r="46" spans="2:16" s="2" customFormat="1" x14ac:dyDescent="0.2">
      <c r="B46" s="46" t="s">
        <v>75</v>
      </c>
      <c r="C46" s="53" t="s">
        <v>98</v>
      </c>
      <c r="D46" s="54">
        <f>_xll.qlInterestRateIndexFixingDate(IborIndex,EffectiveDate,Trigger)</f>
        <v>42255</v>
      </c>
      <c r="E46" s="54">
        <f>_xll.qlInterestRateIndexValueDate(K46,D46)</f>
        <v>42257</v>
      </c>
      <c r="F46" s="54">
        <f>_xll.qlInterestRateIndexMaturity(K46,E46)</f>
        <v>46275</v>
      </c>
      <c r="G46" s="61">
        <f>_xll.qlIndexFixing(K46,D46,TRUE,AllTriggers)</f>
        <v>2.2670398350762015E-2</v>
      </c>
      <c r="H46" s="61" t="str">
        <f t="shared" si="0"/>
        <v>USD_CURVE_STD_11Y</v>
      </c>
      <c r="I46" s="61" t="s">
        <v>167</v>
      </c>
      <c r="J46" s="51"/>
      <c r="K46" s="52" t="str">
        <f>_xll.qlSwapIndex(,"No Fix",B46,SettlementDays,Currency,Calendar,$M$33,$N$33,$O$33,IborIndex,YieldCurve,,Trigger)</f>
        <v>obj_003b9#0000</v>
      </c>
      <c r="L46" s="4"/>
      <c r="M46" s="4"/>
      <c r="N46" s="4"/>
      <c r="O46" s="4"/>
      <c r="P46" s="4"/>
    </row>
    <row r="47" spans="2:16" s="2" customFormat="1" x14ac:dyDescent="0.2">
      <c r="B47" s="46" t="s">
        <v>29</v>
      </c>
      <c r="C47" s="53" t="s">
        <v>98</v>
      </c>
      <c r="D47" s="54">
        <f>_xll.qlInterestRateIndexFixingDate(IborIndex,EffectiveDate,Trigger)</f>
        <v>42255</v>
      </c>
      <c r="E47" s="54">
        <f>_xll.qlInterestRateIndexValueDate(K47,D47)</f>
        <v>42257</v>
      </c>
      <c r="F47" s="54">
        <f>_xll.qlInterestRateIndexMaturity(K47,E47)</f>
        <v>46640</v>
      </c>
      <c r="G47" s="61">
        <f>_xll.qlIndexFixing(K47,D47,TRUE,AllTriggers)</f>
        <v>2.3329999999999802E-2</v>
      </c>
      <c r="H47" s="61" t="str">
        <f t="shared" si="0"/>
        <v>USD_CURVE_STD_12Y</v>
      </c>
      <c r="I47" s="61" t="s">
        <v>168</v>
      </c>
      <c r="J47" s="51"/>
      <c r="K47" s="52" t="str">
        <f>_xll.qlSwapIndex(,"No Fix",B47,SettlementDays,Currency,Calendar,$M$33,$N$33,$O$33,IborIndex,YieldCurve,,Trigger)</f>
        <v>obj_003b2#0000</v>
      </c>
      <c r="L47" s="4"/>
      <c r="M47" s="4"/>
      <c r="N47" s="4"/>
      <c r="O47" s="4"/>
      <c r="P47" s="4"/>
    </row>
    <row r="48" spans="2:16" s="2" customFormat="1" x14ac:dyDescent="0.2">
      <c r="B48" s="46" t="s">
        <v>76</v>
      </c>
      <c r="C48" s="53" t="s">
        <v>98</v>
      </c>
      <c r="D48" s="54">
        <f>_xll.qlInterestRateIndexFixingDate(IborIndex,EffectiveDate,Trigger)</f>
        <v>42255</v>
      </c>
      <c r="E48" s="54">
        <f>_xll.qlInterestRateIndexValueDate(K48,D48)</f>
        <v>42257</v>
      </c>
      <c r="F48" s="54">
        <f>_xll.qlInterestRateIndexMaturity(K48,E48)</f>
        <v>47007</v>
      </c>
      <c r="G48" s="61">
        <f>_xll.qlIndexFixing(K48,D48,TRUE,AllTriggers)</f>
        <v>2.3776697386527001E-2</v>
      </c>
      <c r="H48" s="61" t="str">
        <f t="shared" si="0"/>
        <v>USD_CURVE_STD_13Y</v>
      </c>
      <c r="I48" s="61" t="s">
        <v>169</v>
      </c>
      <c r="J48" s="51"/>
      <c r="K48" s="52" t="str">
        <f>_xll.qlSwapIndex(,"No Fix",B48,SettlementDays,Currency,Calendar,$M$33,$N$33,$O$33,IborIndex,YieldCurve,,Trigger)</f>
        <v>obj_003ca#0000</v>
      </c>
      <c r="L48" s="4"/>
      <c r="M48" s="4"/>
      <c r="N48" s="4"/>
      <c r="O48" s="4"/>
      <c r="P48" s="4"/>
    </row>
    <row r="49" spans="2:16" s="2" customFormat="1" x14ac:dyDescent="0.2">
      <c r="B49" s="46" t="s">
        <v>77</v>
      </c>
      <c r="C49" s="53" t="s">
        <v>98</v>
      </c>
      <c r="D49" s="54">
        <f>_xll.qlInterestRateIndexFixingDate(IborIndex,EffectiveDate,Trigger)</f>
        <v>42255</v>
      </c>
      <c r="E49" s="54">
        <f>_xll.qlInterestRateIndexValueDate(K49,D49)</f>
        <v>42257</v>
      </c>
      <c r="F49" s="54">
        <f>_xll.qlInterestRateIndexMaturity(K49,E49)</f>
        <v>47371</v>
      </c>
      <c r="G49" s="61">
        <f>_xll.qlIndexFixing(K49,D49,TRUE,AllTriggers)</f>
        <v>2.4211566097949708E-2</v>
      </c>
      <c r="H49" s="61" t="str">
        <f t="shared" si="0"/>
        <v>USD_CURVE_STD_14Y</v>
      </c>
      <c r="I49" s="61" t="s">
        <v>170</v>
      </c>
      <c r="J49" s="51"/>
      <c r="K49" s="52" t="str">
        <f>_xll.qlSwapIndex(,"No Fix",B49,SettlementDays,Currency,Calendar,$M$33,$N$33,$O$33,IborIndex,YieldCurve,,Trigger)</f>
        <v>obj_003ba#0000</v>
      </c>
      <c r="L49" s="4"/>
      <c r="M49" s="4"/>
      <c r="N49" s="4"/>
      <c r="O49" s="4"/>
      <c r="P49" s="4"/>
    </row>
    <row r="50" spans="2:16" s="2" customFormat="1" x14ac:dyDescent="0.2">
      <c r="B50" s="46" t="s">
        <v>30</v>
      </c>
      <c r="C50" s="53" t="s">
        <v>98</v>
      </c>
      <c r="D50" s="54">
        <f>_xll.qlInterestRateIndexFixingDate(IborIndex,EffectiveDate,Trigger)</f>
        <v>42255</v>
      </c>
      <c r="E50" s="54">
        <f>_xll.qlInterestRateIndexValueDate(K50,D50)</f>
        <v>42257</v>
      </c>
      <c r="F50" s="54">
        <f>_xll.qlInterestRateIndexMaturity(K50,E50)</f>
        <v>47736</v>
      </c>
      <c r="G50" s="61">
        <f>_xll.qlIndexFixing(K50,D50,TRUE,AllTriggers)</f>
        <v>2.4639999999999992E-2</v>
      </c>
      <c r="H50" s="61" t="str">
        <f t="shared" si="0"/>
        <v>USD_CURVE_STD_15Y</v>
      </c>
      <c r="I50" s="61" t="s">
        <v>171</v>
      </c>
      <c r="J50" s="51"/>
      <c r="K50" s="52" t="str">
        <f>_xll.qlSwapIndex(,"No Fix",B50,SettlementDays,Currency,Calendar,$M$33,$N$33,$O$33,IborIndex,YieldCurve,,Trigger)</f>
        <v>obj_003b3#0000</v>
      </c>
      <c r="L50" s="4"/>
      <c r="M50" s="4"/>
      <c r="N50" s="4"/>
      <c r="O50" s="4"/>
      <c r="P50" s="4"/>
    </row>
    <row r="51" spans="2:16" s="2" customFormat="1" x14ac:dyDescent="0.2">
      <c r="B51" s="46" t="s">
        <v>78</v>
      </c>
      <c r="C51" s="53" t="s">
        <v>98</v>
      </c>
      <c r="D51" s="54">
        <f>_xll.qlInterestRateIndexFixingDate(IborIndex,EffectiveDate,Trigger)</f>
        <v>42255</v>
      </c>
      <c r="E51" s="54">
        <f>_xll.qlInterestRateIndexValueDate(K51,D51)</f>
        <v>42257</v>
      </c>
      <c r="F51" s="54">
        <f>_xll.qlInterestRateIndexMaturity(K51,E51)</f>
        <v>48101</v>
      </c>
      <c r="G51" s="61">
        <f>_xll.qlIndexFixing(K51,D51,TRUE,AllTriggers)</f>
        <v>2.4892075218520021E-2</v>
      </c>
      <c r="H51" s="61" t="str">
        <f t="shared" si="0"/>
        <v>USD_CURVE_STD_16Y</v>
      </c>
      <c r="I51" s="61" t="s">
        <v>172</v>
      </c>
      <c r="J51" s="51"/>
      <c r="K51" s="52" t="str">
        <f>_xll.qlSwapIndex(,"No Fix",B51,SettlementDays,Currency,Calendar,$M$33,$N$33,$O$33,IborIndex,YieldCurve,,Trigger)</f>
        <v>obj_003bf#0000</v>
      </c>
      <c r="L51" s="4"/>
      <c r="M51" s="4"/>
      <c r="N51" s="4"/>
      <c r="O51" s="4"/>
      <c r="P51" s="4"/>
    </row>
    <row r="52" spans="2:16" s="2" customFormat="1" x14ac:dyDescent="0.2">
      <c r="B52" s="46" t="s">
        <v>79</v>
      </c>
      <c r="C52" s="53" t="s">
        <v>98</v>
      </c>
      <c r="D52" s="54">
        <f>_xll.qlInterestRateIndexFixingDate(IborIndex,EffectiveDate,Trigger)</f>
        <v>42255</v>
      </c>
      <c r="E52" s="54">
        <f>_xll.qlInterestRateIndexValueDate(K52,D52)</f>
        <v>42257</v>
      </c>
      <c r="F52" s="54">
        <f>_xll.qlInterestRateIndexMaturity(K52,E52)</f>
        <v>48467</v>
      </c>
      <c r="G52" s="61">
        <f>_xll.qlIndexFixing(K52,D52,TRUE,AllTriggers)</f>
        <v>2.5139444091508385E-2</v>
      </c>
      <c r="H52" s="61" t="str">
        <f t="shared" si="0"/>
        <v>USD_CURVE_STD_17Y</v>
      </c>
      <c r="I52" s="61" t="s">
        <v>173</v>
      </c>
      <c r="J52" s="51"/>
      <c r="K52" s="52" t="str">
        <f>_xll.qlSwapIndex(,"No Fix",B52,SettlementDays,Currency,Calendar,$M$33,$N$33,$O$33,IborIndex,YieldCurve,,Trigger)</f>
        <v>obj_003b8#0000</v>
      </c>
      <c r="L52" s="4"/>
      <c r="M52" s="4"/>
      <c r="N52" s="4"/>
      <c r="O52" s="4"/>
      <c r="P52" s="4"/>
    </row>
    <row r="53" spans="2:16" s="2" customFormat="1" x14ac:dyDescent="0.2">
      <c r="B53" s="46" t="s">
        <v>80</v>
      </c>
      <c r="C53" s="53" t="s">
        <v>98</v>
      </c>
      <c r="D53" s="54">
        <f>_xll.qlInterestRateIndexFixingDate(IborIndex,EffectiveDate,Trigger)</f>
        <v>42255</v>
      </c>
      <c r="E53" s="54">
        <f>_xll.qlInterestRateIndexValueDate(K53,D53)</f>
        <v>42257</v>
      </c>
      <c r="F53" s="54">
        <f>_xll.qlInterestRateIndexMaturity(K53,E53)</f>
        <v>48834</v>
      </c>
      <c r="G53" s="61">
        <f>_xll.qlIndexFixing(K53,D53,TRUE,AllTriggers)</f>
        <v>2.5382418171830578E-2</v>
      </c>
      <c r="H53" s="61" t="str">
        <f t="shared" si="0"/>
        <v>USD_CURVE_STD_18Y</v>
      </c>
      <c r="I53" s="61" t="s">
        <v>174</v>
      </c>
      <c r="J53" s="51"/>
      <c r="K53" s="52" t="str">
        <f>_xll.qlSwapIndex(,"No Fix",B53,SettlementDays,Currency,Calendar,$M$33,$N$33,$O$33,IborIndex,YieldCurve,,Trigger)</f>
        <v>obj_003c3#0000</v>
      </c>
      <c r="L53" s="4"/>
      <c r="M53" s="4"/>
      <c r="N53" s="4"/>
      <c r="O53" s="4"/>
      <c r="P53" s="4"/>
    </row>
    <row r="54" spans="2:16" s="2" customFormat="1" x14ac:dyDescent="0.2">
      <c r="B54" s="46" t="s">
        <v>81</v>
      </c>
      <c r="C54" s="53" t="s">
        <v>98</v>
      </c>
      <c r="D54" s="54">
        <f>_xll.qlInterestRateIndexFixingDate(IborIndex,EffectiveDate,Trigger)</f>
        <v>42255</v>
      </c>
      <c r="E54" s="54">
        <f>_xll.qlInterestRateIndexValueDate(K54,D54)</f>
        <v>42257</v>
      </c>
      <c r="F54" s="54">
        <f>_xll.qlInterestRateIndexMaturity(K54,E54)</f>
        <v>49198</v>
      </c>
      <c r="G54" s="61">
        <f>_xll.qlIndexFixing(K54,D54,TRUE,AllTriggers)</f>
        <v>2.5618484182030121E-2</v>
      </c>
      <c r="H54" s="61" t="str">
        <f t="shared" si="0"/>
        <v>USD_CURVE_STD_19Y</v>
      </c>
      <c r="I54" s="61" t="s">
        <v>175</v>
      </c>
      <c r="J54" s="51"/>
      <c r="K54" s="52" t="str">
        <f>_xll.qlSwapIndex(,"No Fix",B54,SettlementDays,Currency,Calendar,$M$33,$N$33,$O$33,IborIndex,YieldCurve,,Trigger)</f>
        <v>obj_003c4#0000</v>
      </c>
      <c r="L54" s="4"/>
      <c r="M54" s="4"/>
      <c r="N54" s="4"/>
      <c r="O54" s="4"/>
      <c r="P54" s="4"/>
    </row>
    <row r="55" spans="2:16" s="2" customFormat="1" x14ac:dyDescent="0.2">
      <c r="B55" s="46" t="s">
        <v>82</v>
      </c>
      <c r="C55" s="53" t="s">
        <v>98</v>
      </c>
      <c r="D55" s="54">
        <f>_xll.qlInterestRateIndexFixingDate(IborIndex,EffectiveDate,Trigger)</f>
        <v>42255</v>
      </c>
      <c r="E55" s="54">
        <f>_xll.qlInterestRateIndexValueDate(K55,D55)</f>
        <v>42257</v>
      </c>
      <c r="F55" s="54">
        <f>_xll.qlInterestRateIndexMaturity(K55,E55)</f>
        <v>49562</v>
      </c>
      <c r="G55" s="61">
        <f>_xll.qlIndexFixing(K55,D55,TRUE,AllTriggers)</f>
        <v>2.5850000000000005E-2</v>
      </c>
      <c r="H55" s="61" t="str">
        <f t="shared" si="0"/>
        <v>USD_CURVE_STD_20Y</v>
      </c>
      <c r="I55" s="61" t="s">
        <v>176</v>
      </c>
      <c r="J55" s="51"/>
      <c r="K55" s="52" t="str">
        <f>_xll.qlSwapIndex(,"No Fix",B55,SettlementDays,Currency,Calendar,$M$33,$N$33,$O$33,IborIndex,YieldCurve,,Trigger)</f>
        <v>obj_003be#0000</v>
      </c>
      <c r="L55" s="4"/>
      <c r="M55" s="4"/>
      <c r="N55" s="4"/>
      <c r="O55" s="4"/>
      <c r="P55" s="4"/>
    </row>
    <row r="56" spans="2:16" s="2" customFormat="1" x14ac:dyDescent="0.2">
      <c r="B56" s="46" t="s">
        <v>83</v>
      </c>
      <c r="C56" s="53" t="s">
        <v>98</v>
      </c>
      <c r="D56" s="54">
        <f>_xll.qlInterestRateIndexFixingDate(IborIndex,EffectiveDate,Trigger)</f>
        <v>42255</v>
      </c>
      <c r="E56" s="54">
        <f>_xll.qlInterestRateIndexValueDate(K56,D56)</f>
        <v>42257</v>
      </c>
      <c r="F56" s="54">
        <f>_xll.qlInterestRateIndexMaturity(K56,E56)</f>
        <v>49928</v>
      </c>
      <c r="G56" s="61">
        <f>_xll.qlIndexFixing(K56,D56,TRUE,AllTriggers)</f>
        <v>2.5974304369860823E-2</v>
      </c>
      <c r="H56" s="61" t="str">
        <f t="shared" si="0"/>
        <v>USD_CURVE_STD_21Y</v>
      </c>
      <c r="I56" s="61" t="s">
        <v>177</v>
      </c>
      <c r="J56" s="51"/>
      <c r="K56" s="52" t="str">
        <f>_xll.qlSwapIndex(,"No Fix",B56,SettlementDays,Currency,Calendar,$M$33,$N$33,$O$33,IborIndex,YieldCurve,,Trigger)</f>
        <v>obj_003bb#0000</v>
      </c>
      <c r="L56" s="4"/>
      <c r="M56" s="4"/>
      <c r="N56" s="4"/>
      <c r="O56" s="4"/>
      <c r="P56" s="4"/>
    </row>
    <row r="57" spans="2:16" s="2" customFormat="1" x14ac:dyDescent="0.2">
      <c r="B57" s="46" t="s">
        <v>84</v>
      </c>
      <c r="C57" s="53" t="s">
        <v>98</v>
      </c>
      <c r="D57" s="54">
        <f>_xll.qlInterestRateIndexFixingDate(IborIndex,EffectiveDate,Trigger)</f>
        <v>42255</v>
      </c>
      <c r="E57" s="54">
        <f>_xll.qlInterestRateIndexValueDate(K57,D57)</f>
        <v>42257</v>
      </c>
      <c r="F57" s="54">
        <f>_xll.qlInterestRateIndexMaturity(K57,E57)</f>
        <v>50293</v>
      </c>
      <c r="G57" s="61">
        <f>_xll.qlIndexFixing(K57,D57,TRUE,AllTriggers)</f>
        <v>2.6094969608063318E-2</v>
      </c>
      <c r="H57" s="61" t="str">
        <f t="shared" si="0"/>
        <v>USD_CURVE_STD_22Y</v>
      </c>
      <c r="I57" s="61" t="s">
        <v>178</v>
      </c>
      <c r="J57" s="51"/>
      <c r="K57" s="52" t="str">
        <f>_xll.qlSwapIndex(,"No Fix",B57,SettlementDays,Currency,Calendar,$M$33,$N$33,$O$33,IborIndex,YieldCurve,,Trigger)</f>
        <v>obj_003c1#0000</v>
      </c>
      <c r="L57" s="4"/>
      <c r="M57" s="4"/>
      <c r="N57" s="4"/>
      <c r="O57" s="4"/>
      <c r="P57" s="4"/>
    </row>
    <row r="58" spans="2:16" s="2" customFormat="1" x14ac:dyDescent="0.2">
      <c r="B58" s="46" t="s">
        <v>85</v>
      </c>
      <c r="C58" s="53" t="s">
        <v>98</v>
      </c>
      <c r="D58" s="54">
        <f>_xll.qlInterestRateIndexFixingDate(IborIndex,EffectiveDate,Trigger)</f>
        <v>42255</v>
      </c>
      <c r="E58" s="54">
        <f>_xll.qlInterestRateIndexValueDate(K58,D58)</f>
        <v>42257</v>
      </c>
      <c r="F58" s="54">
        <f>_xll.qlInterestRateIndexMaturity(K58,E58)</f>
        <v>50658</v>
      </c>
      <c r="G58" s="61">
        <f>_xll.qlIndexFixing(K58,D58,TRUE,AllTriggers)</f>
        <v>2.6212621469145939E-2</v>
      </c>
      <c r="H58" s="61" t="str">
        <f t="shared" si="0"/>
        <v>USD_CURVE_STD_23Y</v>
      </c>
      <c r="I58" s="61" t="s">
        <v>179</v>
      </c>
      <c r="J58" s="51"/>
      <c r="K58" s="52" t="str">
        <f>_xll.qlSwapIndex(,"No Fix",B58,SettlementDays,Currency,Calendar,$M$33,$N$33,$O$33,IborIndex,YieldCurve,,Trigger)</f>
        <v>obj_003b1#0000</v>
      </c>
      <c r="L58" s="4"/>
      <c r="M58" s="4"/>
      <c r="N58" s="4"/>
      <c r="O58" s="4"/>
      <c r="P58" s="4"/>
    </row>
    <row r="59" spans="2:16" s="2" customFormat="1" x14ac:dyDescent="0.2">
      <c r="B59" s="46" t="s">
        <v>86</v>
      </c>
      <c r="C59" s="53" t="s">
        <v>98</v>
      </c>
      <c r="D59" s="54">
        <f>_xll.qlInterestRateIndexFixingDate(IborIndex,EffectiveDate,Trigger)</f>
        <v>42255</v>
      </c>
      <c r="E59" s="54">
        <f>_xll.qlInterestRateIndexValueDate(K59,D59)</f>
        <v>42257</v>
      </c>
      <c r="F59" s="54">
        <f>_xll.qlInterestRateIndexMaturity(K59,E59)</f>
        <v>51025</v>
      </c>
      <c r="G59" s="61">
        <f>_xll.qlIndexFixing(K59,D59,TRUE,AllTriggers)</f>
        <v>2.6328148334409093E-2</v>
      </c>
      <c r="H59" s="61" t="str">
        <f t="shared" si="0"/>
        <v>USD_CURVE_STD_24Y</v>
      </c>
      <c r="I59" s="61" t="s">
        <v>180</v>
      </c>
      <c r="J59" s="51"/>
      <c r="K59" s="52" t="str">
        <f>_xll.qlSwapIndex(,"No Fix",B59,SettlementDays,Currency,Calendar,$M$33,$N$33,$O$33,IborIndex,YieldCurve,,Trigger)</f>
        <v>obj_003b0#0000</v>
      </c>
      <c r="L59" s="4"/>
      <c r="M59" s="4"/>
      <c r="N59" s="4"/>
      <c r="O59" s="4"/>
      <c r="P59" s="4"/>
    </row>
    <row r="60" spans="2:16" s="2" customFormat="1" x14ac:dyDescent="0.2">
      <c r="B60" s="46" t="s">
        <v>87</v>
      </c>
      <c r="C60" s="53" t="s">
        <v>98</v>
      </c>
      <c r="D60" s="54">
        <f>_xll.qlInterestRateIndexFixingDate(IborIndex,EffectiveDate,Trigger)</f>
        <v>42255</v>
      </c>
      <c r="E60" s="54">
        <f>_xll.qlInterestRateIndexValueDate(K60,D60)</f>
        <v>42257</v>
      </c>
      <c r="F60" s="54">
        <f>_xll.qlInterestRateIndexMaturity(K60,E60)</f>
        <v>51389</v>
      </c>
      <c r="G60" s="61">
        <f>_xll.qlIndexFixing(K60,D60,TRUE,AllTriggers)</f>
        <v>2.6439999999991394E-2</v>
      </c>
      <c r="H60" s="61" t="str">
        <f t="shared" si="0"/>
        <v>USD_CURVE_STD_25Y</v>
      </c>
      <c r="I60" s="61" t="s">
        <v>181</v>
      </c>
      <c r="J60" s="51"/>
      <c r="K60" s="52" t="str">
        <f>_xll.qlSwapIndex(,"No Fix",B60,SettlementDays,Currency,Calendar,$M$33,$N$33,$O$33,IborIndex,YieldCurve,,Trigger)</f>
        <v>obj_003b6#0000</v>
      </c>
      <c r="L60" s="4"/>
      <c r="M60" s="4"/>
      <c r="N60" s="4"/>
      <c r="O60" s="4"/>
      <c r="P60" s="4"/>
    </row>
    <row r="61" spans="2:16" s="2" customFormat="1" x14ac:dyDescent="0.2">
      <c r="B61" s="46" t="s">
        <v>88</v>
      </c>
      <c r="C61" s="53" t="s">
        <v>98</v>
      </c>
      <c r="D61" s="54">
        <f>_xll.qlInterestRateIndexFixingDate(IborIndex,EffectiveDate,Trigger)</f>
        <v>42255</v>
      </c>
      <c r="E61" s="54">
        <f>_xll.qlInterestRateIndexValueDate(K61,D61)</f>
        <v>42257</v>
      </c>
      <c r="F61" s="54">
        <f>_xll.qlInterestRateIndexMaturity(K61,E61)</f>
        <v>51754</v>
      </c>
      <c r="G61" s="61">
        <f>_xll.qlIndexFixing(K61,D61,TRUE,AllTriggers)</f>
        <v>2.6513812713254144E-2</v>
      </c>
      <c r="H61" s="61" t="str">
        <f t="shared" si="0"/>
        <v>USD_CURVE_STD_26Y</v>
      </c>
      <c r="I61" s="61" t="s">
        <v>182</v>
      </c>
      <c r="J61" s="51"/>
      <c r="K61" s="52" t="str">
        <f>_xll.qlSwapIndex(,"No Fix",B61,SettlementDays,Currency,Calendar,$M$33,$N$33,$O$33,IborIndex,YieldCurve,,Trigger)</f>
        <v>obj_003af#0000</v>
      </c>
      <c r="L61" s="4"/>
      <c r="M61" s="4"/>
      <c r="N61" s="4"/>
      <c r="O61" s="4"/>
      <c r="P61" s="4"/>
    </row>
    <row r="62" spans="2:16" s="2" customFormat="1" x14ac:dyDescent="0.2">
      <c r="B62" s="46" t="s">
        <v>89</v>
      </c>
      <c r="C62" s="53" t="s">
        <v>98</v>
      </c>
      <c r="D62" s="54">
        <f>_xll.qlInterestRateIndexFixingDate(IborIndex,EffectiveDate,Trigger)</f>
        <v>42255</v>
      </c>
      <c r="E62" s="54">
        <f>_xll.qlInterestRateIndexValueDate(K62,D62)</f>
        <v>42257</v>
      </c>
      <c r="F62" s="54">
        <f>_xll.qlInterestRateIndexMaturity(K62,E62)</f>
        <v>52119</v>
      </c>
      <c r="G62" s="61">
        <f>_xll.qlIndexFixing(K62,D62,TRUE,AllTriggers)</f>
        <v>2.6585544908339337E-2</v>
      </c>
      <c r="H62" s="61" t="str">
        <f t="shared" si="0"/>
        <v>USD_CURVE_STD_27Y</v>
      </c>
      <c r="I62" s="61" t="s">
        <v>183</v>
      </c>
      <c r="J62" s="51"/>
      <c r="K62" s="52" t="str">
        <f>_xll.qlSwapIndex(,"No Fix",B62,SettlementDays,Currency,Calendar,$M$33,$N$33,$O$33,IborIndex,YieldCurve,,Trigger)</f>
        <v>obj_003bc#0000</v>
      </c>
      <c r="L62" s="4"/>
      <c r="M62" s="4"/>
      <c r="N62" s="4"/>
      <c r="O62" s="4"/>
      <c r="P62" s="4"/>
    </row>
    <row r="63" spans="2:16" s="2" customFormat="1" x14ac:dyDescent="0.2">
      <c r="B63" s="46" t="s">
        <v>90</v>
      </c>
      <c r="C63" s="53" t="s">
        <v>98</v>
      </c>
      <c r="D63" s="54">
        <f>_xll.qlInterestRateIndexFixingDate(IborIndex,EffectiveDate,Trigger)</f>
        <v>42255</v>
      </c>
      <c r="E63" s="54">
        <f>_xll.qlInterestRateIndexValueDate(K63,D63)</f>
        <v>42257</v>
      </c>
      <c r="F63" s="54">
        <f>_xll.qlInterestRateIndexMaturity(K63,E63)</f>
        <v>52484</v>
      </c>
      <c r="G63" s="61">
        <f>_xll.qlIndexFixing(K63,D63,TRUE,AllTriggers)</f>
        <v>2.6655339347080448E-2</v>
      </c>
      <c r="H63" s="61" t="str">
        <f t="shared" si="0"/>
        <v>USD_CURVE_STD_28Y</v>
      </c>
      <c r="I63" s="61" t="s">
        <v>184</v>
      </c>
      <c r="J63" s="51"/>
      <c r="K63" s="52" t="str">
        <f>_xll.qlSwapIndex(,"No Fix",B63,SettlementDays,Currency,Calendar,$M$33,$N$33,$O$33,IborIndex,YieldCurve,,Trigger)</f>
        <v>obj_003c8#0000</v>
      </c>
      <c r="L63" s="4"/>
      <c r="M63" s="4"/>
      <c r="N63" s="4"/>
      <c r="O63" s="4"/>
      <c r="P63" s="4"/>
    </row>
    <row r="64" spans="2:16" s="2" customFormat="1" x14ac:dyDescent="0.2">
      <c r="B64" s="46" t="s">
        <v>91</v>
      </c>
      <c r="C64" s="53" t="s">
        <v>98</v>
      </c>
      <c r="D64" s="54">
        <f>_xll.qlInterestRateIndexFixingDate(IborIndex,EffectiveDate,Trigger)</f>
        <v>42255</v>
      </c>
      <c r="E64" s="54">
        <f>_xll.qlInterestRateIndexValueDate(K64,D64)</f>
        <v>42257</v>
      </c>
      <c r="F64" s="54">
        <f>_xll.qlInterestRateIndexMaturity(K64,E64)</f>
        <v>52852</v>
      </c>
      <c r="G64" s="61">
        <f>_xll.qlIndexFixing(K64,D64,TRUE,AllTriggers)</f>
        <v>2.6723943838896234E-2</v>
      </c>
      <c r="H64" s="61" t="str">
        <f t="shared" si="0"/>
        <v>USD_CURVE_STD_29Y</v>
      </c>
      <c r="I64" s="61" t="s">
        <v>185</v>
      </c>
      <c r="J64" s="51"/>
      <c r="K64" s="52" t="str">
        <f>_xll.qlSwapIndex(,"No Fix",B64,SettlementDays,Currency,Calendar,$M$33,$N$33,$O$33,IborIndex,YieldCurve,,Trigger)</f>
        <v>obj_003ad#0000</v>
      </c>
      <c r="L64" s="4"/>
      <c r="M64" s="4"/>
      <c r="N64" s="4"/>
      <c r="O64" s="4"/>
      <c r="P64" s="4"/>
    </row>
    <row r="65" spans="2:16" s="2" customFormat="1" x14ac:dyDescent="0.2">
      <c r="B65" s="46" t="s">
        <v>92</v>
      </c>
      <c r="C65" s="53" t="s">
        <v>98</v>
      </c>
      <c r="D65" s="54">
        <f>_xll.qlInterestRateIndexFixingDate(IborIndex,EffectiveDate,Trigger)</f>
        <v>42255</v>
      </c>
      <c r="E65" s="54">
        <f>_xll.qlInterestRateIndexValueDate(K65,D65)</f>
        <v>42257</v>
      </c>
      <c r="F65" s="54">
        <f>_xll.qlInterestRateIndexMaturity(K65,E65)</f>
        <v>53216</v>
      </c>
      <c r="G65" s="61">
        <f>_xll.qlIndexFixing(K65,D65,TRUE,AllTriggers)</f>
        <v>2.6790000000000216E-2</v>
      </c>
      <c r="H65" s="61" t="str">
        <f t="shared" si="0"/>
        <v>USD_CURVE_STD_30Y</v>
      </c>
      <c r="I65" s="61" t="s">
        <v>186</v>
      </c>
      <c r="J65" s="51"/>
      <c r="K65" s="52" t="str">
        <f>_xll.qlSwapIndex(,"No Fix",B65,SettlementDays,Currency,Calendar,$M$33,$N$33,$O$33,IborIndex,YieldCurve,,Trigger)</f>
        <v>obj_003c6#0000</v>
      </c>
      <c r="L65" s="4"/>
      <c r="M65" s="4"/>
      <c r="N65" s="4"/>
      <c r="O65" s="4"/>
      <c r="P65" s="4"/>
    </row>
    <row r="66" spans="2:16" s="2" customFormat="1" x14ac:dyDescent="0.2">
      <c r="B66" s="46" t="s">
        <v>93</v>
      </c>
      <c r="C66" s="53" t="s">
        <v>98</v>
      </c>
      <c r="D66" s="54">
        <f>_xll.qlInterestRateIndexFixingDate(IborIndex,EffectiveDate,Trigger)</f>
        <v>42255</v>
      </c>
      <c r="E66" s="54">
        <f>_xll.qlInterestRateIndexValueDate(K66,D66)</f>
        <v>42257</v>
      </c>
      <c r="F66" s="54">
        <f>_xll.qlInterestRateIndexMaturity(K66,E66)</f>
        <v>56867</v>
      </c>
      <c r="G66" s="61">
        <f>_xll.qlIndexFixing(K66,D66,TRUE,AllTriggers)</f>
        <v>2.6980000000003324E-2</v>
      </c>
      <c r="H66" s="61" t="str">
        <f t="shared" si="0"/>
        <v>USD_CURVE_STD_40Y</v>
      </c>
      <c r="I66" s="61" t="s">
        <v>187</v>
      </c>
      <c r="J66" s="51"/>
      <c r="K66" s="52" t="str">
        <f>_xll.qlSwapIndex(,"No Fix",B66,SettlementDays,Currency,Calendar,$M$33,$N$33,$O$33,IborIndex,YieldCurve,,Trigger)</f>
        <v>obj_003ac#0000</v>
      </c>
      <c r="L66" s="4"/>
      <c r="M66" s="4"/>
      <c r="N66" s="4"/>
      <c r="O66" s="4"/>
      <c r="P66" s="4"/>
    </row>
    <row r="67" spans="2:16" s="2" customFormat="1" x14ac:dyDescent="0.2">
      <c r="B67" s="46" t="s">
        <v>94</v>
      </c>
      <c r="C67" s="53" t="s">
        <v>98</v>
      </c>
      <c r="D67" s="54">
        <f>_xll.qlInterestRateIndexFixingDate(IborIndex,EffectiveDate,Trigger)</f>
        <v>42255</v>
      </c>
      <c r="E67" s="54">
        <f>_xll.qlInterestRateIndexValueDate(K67,D67)</f>
        <v>42257</v>
      </c>
      <c r="F67" s="54">
        <f>_xll.qlInterestRateIndexMaturity(K67,E67)</f>
        <v>60520</v>
      </c>
      <c r="G67" s="61">
        <f>_xll.qlIndexFixing(K67,D67,TRUE,AllTriggers)</f>
        <v>2.681999999999958E-2</v>
      </c>
      <c r="H67" s="61" t="str">
        <f t="shared" si="0"/>
        <v>USD_CURVE_STD_50Y</v>
      </c>
      <c r="I67" s="61" t="s">
        <v>188</v>
      </c>
      <c r="J67" s="51"/>
      <c r="K67" s="52" t="str">
        <f>_xll.qlSwapIndex(,"No Fix",B67,SettlementDays,Currency,Calendar,$M$33,$N$33,$O$33,IborIndex,YieldCurve,,Trigger)</f>
        <v>obj_003b4#0000</v>
      </c>
      <c r="L67" s="4"/>
      <c r="M67" s="4"/>
    </row>
    <row r="68" spans="2:16" s="2" customFormat="1" x14ac:dyDescent="0.2">
      <c r="B68" s="47" t="s">
        <v>95</v>
      </c>
      <c r="C68" s="55" t="s">
        <v>98</v>
      </c>
      <c r="D68" s="56">
        <f>_xll.qlInterestRateIndexFixingDate(IborIndex,EffectiveDate,Trigger)</f>
        <v>42255</v>
      </c>
      <c r="E68" s="56">
        <f>_xll.qlInterestRateIndexValueDate(K68,D68)</f>
        <v>42257</v>
      </c>
      <c r="F68" s="56">
        <f>_xll.qlInterestRateIndexMaturity(K68,E68)</f>
        <v>64172</v>
      </c>
      <c r="G68" s="57" t="e">
        <f>_xll.qlIndexFixing(K68,D68,TRUE,AllTriggers)</f>
        <v>#NUM!</v>
      </c>
      <c r="H68" s="57" t="str">
        <f t="shared" si="0"/>
        <v>USD_CURVE_STD_60Y</v>
      </c>
      <c r="I68" s="57" t="s">
        <v>189</v>
      </c>
      <c r="J68" s="51"/>
      <c r="K68" s="58" t="str">
        <f>_xll.qlSwapIndex(,"No Fix",B68,SettlementDays,Currency,Calendar,$M$33,$N$33,$O$33,IborIndex,YieldCurve,,Trigger)</f>
        <v>obj_003cc#0000</v>
      </c>
      <c r="L68" s="4"/>
      <c r="M68" s="4"/>
    </row>
  </sheetData>
  <dataValidations count="2">
    <dataValidation type="list" allowBlank="1" showInputMessage="1" showErrorMessage="1" sqref="O33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N33">
      <formula1>"Following,Modified Following,Preceding,Modified Preceding,Unadjusted,Half-Month Modified Following"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81</vt:i4>
      </vt:variant>
    </vt:vector>
  </HeadingPairs>
  <TitlesOfParts>
    <vt:vector size="90" baseType="lpstr">
      <vt:lpstr>General Settings</vt:lpstr>
      <vt:lpstr>Contribution</vt:lpstr>
      <vt:lpstr>Contribution (2)</vt:lpstr>
      <vt:lpstr>1M Pricing</vt:lpstr>
      <vt:lpstr>3M Pricing</vt:lpstr>
      <vt:lpstr>6M Pricing</vt:lpstr>
      <vt:lpstr>1Y Pricing</vt:lpstr>
      <vt:lpstr>ON Pricing</vt:lpstr>
      <vt:lpstr>STD Pricing</vt:lpstr>
      <vt:lpstr>AllTriggers</vt:lpstr>
      <vt:lpstr>'Contribution (2)'!ASK</vt:lpstr>
      <vt:lpstr>ASK</vt:lpstr>
      <vt:lpstr>'1M Pricing'!BDayConvention</vt:lpstr>
      <vt:lpstr>'1Y Pricing'!BDayConvention</vt:lpstr>
      <vt:lpstr>'3M Pricing'!BDayConvention</vt:lpstr>
      <vt:lpstr>'6M Pricing'!BDayConvention</vt:lpstr>
      <vt:lpstr>'Contribution (2)'!BID</vt:lpstr>
      <vt:lpstr>BID</vt:lpstr>
      <vt:lpstr>Calendar</vt:lpstr>
      <vt:lpstr>Contribute</vt:lpstr>
      <vt:lpstr>Currency</vt:lpstr>
      <vt:lpstr>'1M Pricing'!CurveTenor</vt:lpstr>
      <vt:lpstr>'1Y Pricing'!CurveTenor</vt:lpstr>
      <vt:lpstr>'3M Pricing'!CurveTenor</vt:lpstr>
      <vt:lpstr>'6M Pricing'!CurveTenor</vt:lpstr>
      <vt:lpstr>'ON Pricing'!CurveTenor</vt:lpstr>
      <vt:lpstr>CurveTenor</vt:lpstr>
      <vt:lpstr>'ON Pricing'!DayCountConv</vt:lpstr>
      <vt:lpstr>'1M Pricing'!DayCounter</vt:lpstr>
      <vt:lpstr>'1Y Pricing'!DayCounter</vt:lpstr>
      <vt:lpstr>'3M Pricing'!DayCounter</vt:lpstr>
      <vt:lpstr>'6M Pricing'!DayCounter</vt:lpstr>
      <vt:lpstr>DiscountingCurve</vt:lpstr>
      <vt:lpstr>EffectiveDate</vt:lpstr>
      <vt:lpstr>'1M Pricing'!EndOfMonth</vt:lpstr>
      <vt:lpstr>'1Y Pricing'!EndOfMonth</vt:lpstr>
      <vt:lpstr>'3M Pricing'!EndOfMonth</vt:lpstr>
      <vt:lpstr>'6M Pricing'!EndOfMonth</vt:lpstr>
      <vt:lpstr>EvaluationDate</vt:lpstr>
      <vt:lpstr>'Contribution (2)'!Fields</vt:lpstr>
      <vt:lpstr>Fields</vt:lpstr>
      <vt:lpstr>'1Y Pricing'!FixedLegBDC</vt:lpstr>
      <vt:lpstr>'3M Pricing'!FixedLegBDC</vt:lpstr>
      <vt:lpstr>'6M Pricing'!FixedLegBDC</vt:lpstr>
      <vt:lpstr>'1Y Pricing'!FixedLegDayCounter</vt:lpstr>
      <vt:lpstr>'3M Pricing'!FixedLegDayCounter</vt:lpstr>
      <vt:lpstr>'6M Pricing'!FixedLegDayCounter</vt:lpstr>
      <vt:lpstr>'1Y Pricing'!FixedLegTenor</vt:lpstr>
      <vt:lpstr>'3M Pricing'!FixedLegTenor</vt:lpstr>
      <vt:lpstr>'6M Pricing'!FixedLegTenor</vt:lpstr>
      <vt:lpstr>FuturesRollDays</vt:lpstr>
      <vt:lpstr>'ON Pricing'!FwdStart</vt:lpstr>
      <vt:lpstr>'1M Pricing'!IborIndex</vt:lpstr>
      <vt:lpstr>'1Y Pricing'!IborIndex</vt:lpstr>
      <vt:lpstr>'3M Pricing'!IborIndex</vt:lpstr>
      <vt:lpstr>'6M Pricing'!IborIndex</vt:lpstr>
      <vt:lpstr>IborIndex</vt:lpstr>
      <vt:lpstr>IborIndexFamily</vt:lpstr>
      <vt:lpstr>'1M Pricing'!Interpolation</vt:lpstr>
      <vt:lpstr>InterpolationType</vt:lpstr>
      <vt:lpstr>LiborCalendar</vt:lpstr>
      <vt:lpstr>LocalCalendar</vt:lpstr>
      <vt:lpstr>ObjectOverwrite</vt:lpstr>
      <vt:lpstr>'ON Pricing'!OvernightIndex</vt:lpstr>
      <vt:lpstr>Permanent</vt:lpstr>
      <vt:lpstr>PriceTickValue</vt:lpstr>
      <vt:lpstr>RateTickValue</vt:lpstr>
      <vt:lpstr>'Contribution (2)'!Ric1M</vt:lpstr>
      <vt:lpstr>Ric1M</vt:lpstr>
      <vt:lpstr>'Contribution (2)'!Ric1Y</vt:lpstr>
      <vt:lpstr>Ric1Y</vt:lpstr>
      <vt:lpstr>'Contribution (2)'!Ric3M</vt:lpstr>
      <vt:lpstr>Ric3M</vt:lpstr>
      <vt:lpstr>'Contribution (2)'!Ric6M</vt:lpstr>
      <vt:lpstr>Ric6M</vt:lpstr>
      <vt:lpstr>'Contribution (2)'!RicON</vt:lpstr>
      <vt:lpstr>RicON</vt:lpstr>
      <vt:lpstr>SettlementDate</vt:lpstr>
      <vt:lpstr>SettlementDays</vt:lpstr>
      <vt:lpstr>'Contribution (2)'!SourceAlias</vt:lpstr>
      <vt:lpstr>SourceAlias</vt:lpstr>
      <vt:lpstr>Trigger</vt:lpstr>
      <vt:lpstr>'Contribution (2)'!TriggerCounter</vt:lpstr>
      <vt:lpstr>TriggerCounter</vt:lpstr>
      <vt:lpstr>'1M Pricing'!YieldCurve</vt:lpstr>
      <vt:lpstr>'1Y Pricing'!YieldCurve</vt:lpstr>
      <vt:lpstr>'3M Pricing'!YieldCurve</vt:lpstr>
      <vt:lpstr>'6M Pricing'!YieldCurve</vt:lpstr>
      <vt:lpstr>'ON Pricing'!YieldCurve</vt:lpstr>
      <vt:lpstr>YieldCurve</vt:lpstr>
    </vt:vector>
  </TitlesOfParts>
  <Company>MEDAN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Moschetta Marina</dc:creator>
  <cp:lastModifiedBy>ZANZI MADDALENA</cp:lastModifiedBy>
  <cp:lastPrinted>2013-07-11T09:05:29Z</cp:lastPrinted>
  <dcterms:created xsi:type="dcterms:W3CDTF">2013-06-26T06:50:40Z</dcterms:created>
  <dcterms:modified xsi:type="dcterms:W3CDTF">2015-09-08T13:47:29Z</dcterms:modified>
</cp:coreProperties>
</file>