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 a="1"/>
  <c r="L3" i="33" s="1"/>
  <c r="L7" i="33"/>
  <c r="L8" i="33"/>
  <c r="L9" i="33"/>
  <c r="L10" i="33"/>
  <c r="L14" i="33"/>
  <c r="L15" i="33"/>
  <c r="L16" i="33"/>
  <c r="L17" i="33"/>
  <c r="L18" i="33"/>
  <c r="L24" i="33"/>
  <c r="L25" i="33"/>
  <c r="L26" i="33"/>
  <c r="L32" i="33"/>
  <c r="L33" i="33"/>
  <c r="L34" i="33"/>
  <c r="L40" i="33"/>
  <c r="L41" i="33"/>
  <c r="L42" i="33"/>
  <c r="L48" i="33"/>
  <c r="L49" i="33"/>
  <c r="L50" i="33"/>
  <c r="L56" i="33"/>
  <c r="L57" i="33"/>
  <c r="L58" i="33"/>
  <c r="L63" i="33" l="1"/>
  <c r="L55" i="33"/>
  <c r="L47" i="33"/>
  <c r="L39" i="33"/>
  <c r="L31" i="33"/>
  <c r="L23" i="33"/>
  <c r="L62" i="33"/>
  <c r="L54" i="33"/>
  <c r="L46" i="33"/>
  <c r="L38" i="33"/>
  <c r="L30" i="33"/>
  <c r="L22" i="33"/>
  <c r="L6" i="33"/>
  <c r="L61" i="33"/>
  <c r="L53" i="33"/>
  <c r="L45" i="33"/>
  <c r="L37" i="33"/>
  <c r="L29" i="33"/>
  <c r="L21" i="33"/>
  <c r="L13" i="33"/>
  <c r="L5" i="33"/>
  <c r="L60" i="33"/>
  <c r="L52" i="33"/>
  <c r="L44" i="33"/>
  <c r="L36" i="33"/>
  <c r="L28" i="33"/>
  <c r="L20" i="33"/>
  <c r="L12" i="33"/>
  <c r="L4" i="33"/>
  <c r="L59" i="33"/>
  <c r="L51" i="33"/>
  <c r="L43" i="33"/>
  <c r="L35" i="33"/>
  <c r="L27" i="33"/>
  <c r="L19" i="33"/>
  <c r="L11" i="33"/>
  <c r="I20" i="29" l="1"/>
  <c r="I19" i="29" l="1"/>
  <c r="G63" i="33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40"/>
  <c r="R3" i="52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9" i="45"/>
  <c r="K5" i="45"/>
  <c r="K7" i="45"/>
  <c r="K4" i="45"/>
  <c r="K8" i="45"/>
  <c r="K6" i="45"/>
  <c r="L1" i="45"/>
  <c r="D6" i="40" l="1"/>
  <c r="D5" i="40"/>
  <c r="A7" i="40"/>
  <c r="L9" i="45"/>
  <c r="L7" i="45"/>
  <c r="L6" i="45"/>
  <c r="L4" i="45"/>
  <c r="L8" i="45"/>
  <c r="L5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H27" i="52"/>
  <c r="R8" i="45"/>
  <c r="G25" i="51"/>
  <c r="E8" i="51"/>
  <c r="F8" i="51" s="1"/>
  <c r="T11" i="45"/>
  <c r="L8" i="51"/>
  <c r="U12" i="45"/>
  <c r="H29" i="52"/>
  <c r="T12" i="45"/>
  <c r="G32" i="52"/>
  <c r="H23" i="52"/>
  <c r="G28" i="40"/>
  <c r="E10" i="52"/>
  <c r="G29" i="52"/>
  <c r="U15" i="45"/>
  <c r="E11" i="52"/>
  <c r="H26" i="40"/>
  <c r="U11" i="45"/>
  <c r="T15" i="45"/>
  <c r="H27" i="51"/>
  <c r="E9" i="51"/>
  <c r="H34" i="52"/>
  <c r="G27" i="40"/>
  <c r="G33" i="52"/>
  <c r="G25" i="40"/>
  <c r="G35" i="52"/>
  <c r="H34" i="40"/>
  <c r="E16" i="52"/>
  <c r="E17" i="52"/>
  <c r="H25" i="40"/>
  <c r="L9" i="51"/>
  <c r="E12" i="52"/>
  <c r="G34" i="52"/>
  <c r="G25" i="52"/>
  <c r="E9" i="52"/>
  <c r="G28" i="51"/>
  <c r="E5" i="52"/>
  <c r="H27" i="40"/>
  <c r="E13" i="52"/>
  <c r="G34" i="40"/>
  <c r="H24" i="52"/>
  <c r="H31" i="51"/>
  <c r="H22" i="52"/>
  <c r="R6" i="45"/>
  <c r="G24" i="52"/>
  <c r="H29" i="40"/>
  <c r="H25" i="51"/>
  <c r="H31" i="40"/>
  <c r="H33" i="40"/>
  <c r="G29" i="40"/>
  <c r="H28" i="40"/>
  <c r="G30" i="40"/>
  <c r="G26" i="40"/>
  <c r="H30" i="52"/>
  <c r="M9" i="52"/>
  <c r="G27" i="51"/>
  <c r="T13" i="45"/>
  <c r="E7" i="52"/>
  <c r="H28" i="51"/>
  <c r="H25" i="52"/>
  <c r="E5" i="51"/>
  <c r="H32" i="40"/>
  <c r="G32" i="40"/>
  <c r="H29" i="51"/>
  <c r="G31" i="52"/>
  <c r="R7" i="45"/>
  <c r="G29" i="51"/>
  <c r="E14" i="52"/>
  <c r="H32" i="52"/>
  <c r="G28" i="52"/>
  <c r="H33" i="52"/>
  <c r="G33" i="40"/>
  <c r="G27" i="52"/>
  <c r="G30" i="51"/>
  <c r="G23" i="52"/>
  <c r="M7" i="52"/>
  <c r="U14" i="45"/>
  <c r="H26" i="52"/>
  <c r="H20" i="52"/>
  <c r="H35" i="52"/>
  <c r="C11" i="51"/>
  <c r="E15" i="52"/>
  <c r="E6" i="52"/>
  <c r="H26" i="51"/>
  <c r="H28" i="52"/>
  <c r="G20" i="52"/>
  <c r="H30" i="40"/>
  <c r="E7" i="51"/>
  <c r="L7" i="51" s="1"/>
  <c r="H30" i="51"/>
  <c r="E10" i="51"/>
  <c r="G31" i="40"/>
  <c r="R5" i="45"/>
  <c r="H31" i="52"/>
  <c r="E8" i="52"/>
  <c r="G21" i="52"/>
  <c r="M11" i="52"/>
  <c r="E6" i="51"/>
  <c r="G31" i="51"/>
  <c r="G26" i="51"/>
  <c r="T14" i="45"/>
  <c r="G26" i="52"/>
  <c r="U13" i="45"/>
  <c r="G22" i="52"/>
  <c r="G30" i="52"/>
  <c r="H21" i="52"/>
  <c r="C12" i="51"/>
  <c r="E11" i="51"/>
  <c r="L6" i="51"/>
  <c r="F6" i="51"/>
  <c r="E12" i="51"/>
  <c r="C13" i="51"/>
  <c r="L11" i="51"/>
  <c r="F11" i="51"/>
  <c r="L12" i="51"/>
  <c r="F12" i="51"/>
  <c r="E13" i="51"/>
  <c r="C14" i="51"/>
  <c r="F13" i="51"/>
  <c r="L13" i="51"/>
  <c r="E14" i="51"/>
  <c r="C15" i="51"/>
  <c r="L14" i="51"/>
  <c r="F14" i="51"/>
  <c r="E15" i="51"/>
  <c r="C16" i="51"/>
  <c r="L15" i="51"/>
  <c r="F15" i="51"/>
  <c r="C17" i="51"/>
  <c r="E16" i="51"/>
  <c r="C18" i="51"/>
  <c r="E17" i="51"/>
  <c r="L16" i="51"/>
  <c r="F16" i="51"/>
  <c r="E18" i="51"/>
  <c r="C19" i="51"/>
  <c r="L17" i="51"/>
  <c r="F17" i="51"/>
  <c r="L18" i="51"/>
  <c r="F18" i="51"/>
  <c r="E19" i="51"/>
  <c r="C20" i="51"/>
  <c r="F19" i="51"/>
  <c r="L19" i="51"/>
  <c r="E20" i="51"/>
  <c r="C21" i="51"/>
  <c r="L20" i="51"/>
  <c r="F20" i="51"/>
  <c r="E21" i="51"/>
  <c r="C22" i="51"/>
  <c r="F21" i="51"/>
  <c r="L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M8" i="52"/>
  <c r="M13" i="52"/>
  <c r="M12" i="52"/>
  <c r="F16" i="52"/>
  <c r="M4" i="52"/>
  <c r="F9" i="51"/>
  <c r="M15" i="52"/>
  <c r="F5" i="52"/>
  <c r="L4" i="40"/>
  <c r="F10" i="51"/>
  <c r="F8" i="52"/>
  <c r="F17" i="52"/>
  <c r="M17" i="52"/>
  <c r="M14" i="52"/>
  <c r="F3" i="52"/>
  <c r="F14" i="52"/>
  <c r="F10" i="52"/>
  <c r="F5" i="51"/>
  <c r="F11" i="52"/>
  <c r="M3" i="52"/>
  <c r="F3" i="51"/>
  <c r="Z3" i="45"/>
  <c r="M5" i="52"/>
  <c r="F4" i="51"/>
  <c r="L10" i="51"/>
  <c r="F4" i="52"/>
  <c r="M16" i="52"/>
  <c r="L5" i="51"/>
  <c r="F7" i="52"/>
  <c r="F13" i="52"/>
  <c r="M6" i="52"/>
  <c r="F9" i="52"/>
  <c r="F7" i="51"/>
  <c r="L4" i="51"/>
  <c r="E22" i="51"/>
  <c r="Z4" i="45"/>
  <c r="F22" i="51"/>
  <c r="L3" i="51"/>
  <c r="M10" i="52"/>
  <c r="F12" i="52"/>
  <c r="F15" i="52"/>
  <c r="F6" i="52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60" i="33"/>
  <c r="D56" i="33"/>
  <c r="D44" i="33"/>
  <c r="D50" i="33"/>
  <c r="D58" i="33"/>
  <c r="D59" i="33"/>
  <c r="D42" i="33"/>
  <c r="D52" i="33"/>
  <c r="D55" i="33"/>
  <c r="D41" i="33"/>
  <c r="D45" i="33"/>
  <c r="D57" i="33"/>
  <c r="D61" i="33"/>
  <c r="D53" i="33"/>
  <c r="D54" i="33"/>
  <c r="D51" i="33"/>
  <c r="D49" i="33"/>
  <c r="D46" i="33"/>
  <c r="D47" i="33"/>
  <c r="D48" i="33"/>
  <c r="D43" i="33"/>
  <c r="D63" i="33"/>
  <c r="D62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51" i="33"/>
  <c r="E62" i="33"/>
  <c r="E58" i="33"/>
  <c r="E60" i="33"/>
  <c r="E53" i="33"/>
  <c r="E57" i="33"/>
  <c r="E47" i="33"/>
  <c r="E59" i="33"/>
  <c r="E45" i="33"/>
  <c r="E46" i="33"/>
  <c r="E63" i="33"/>
  <c r="E56" i="33"/>
  <c r="E61" i="33"/>
  <c r="E52" i="33"/>
  <c r="E49" i="33"/>
  <c r="E50" i="33"/>
  <c r="E44" i="33"/>
  <c r="E54" i="33"/>
  <c r="E48" i="33"/>
  <c r="E41" i="33"/>
  <c r="E42" i="33"/>
  <c r="E43" i="33"/>
  <c r="E55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D40" i="33"/>
  <c r="E15" i="40"/>
  <c r="D3" i="33"/>
  <c r="C25" i="35"/>
  <c r="B1" i="29"/>
  <c r="C5" i="35"/>
  <c r="D14" i="33"/>
  <c r="E22" i="40"/>
  <c r="D20" i="33"/>
  <c r="E13" i="40"/>
  <c r="D24" i="33"/>
  <c r="D31" i="33"/>
  <c r="C26" i="35"/>
  <c r="C14" i="35"/>
  <c r="C11" i="35"/>
  <c r="C22" i="35"/>
  <c r="C27" i="35"/>
  <c r="E17" i="40"/>
  <c r="E8" i="40"/>
  <c r="C13" i="35"/>
  <c r="D34" i="33"/>
  <c r="D10" i="33"/>
  <c r="D27" i="33"/>
  <c r="D26" i="33"/>
  <c r="E6" i="40"/>
  <c r="E9" i="40"/>
  <c r="D9" i="33"/>
  <c r="C16" i="35"/>
  <c r="C7" i="35"/>
  <c r="D12" i="33"/>
  <c r="C15" i="35"/>
  <c r="D15" i="35" s="1"/>
  <c r="C18" i="35"/>
  <c r="D19" i="33"/>
  <c r="C23" i="35"/>
  <c r="D23" i="35" s="1"/>
  <c r="D22" i="35"/>
  <c r="D4" i="33"/>
  <c r="K3" i="45"/>
  <c r="E21" i="40"/>
  <c r="C19" i="35"/>
  <c r="B11" i="35"/>
  <c r="E19" i="40"/>
  <c r="C10" i="35"/>
  <c r="D10" i="35" s="1"/>
  <c r="D16" i="33"/>
  <c r="C6" i="35"/>
  <c r="C21" i="35"/>
  <c r="C8" i="35"/>
  <c r="F3" i="40"/>
  <c r="C3" i="35"/>
  <c r="B3" i="35" s="1"/>
  <c r="D17" i="33"/>
  <c r="E16" i="40"/>
  <c r="D39" i="33"/>
  <c r="D15" i="33"/>
  <c r="C17" i="35"/>
  <c r="D18" i="33"/>
  <c r="D33" i="33"/>
  <c r="D30" i="33"/>
  <c r="E7" i="40"/>
  <c r="E20" i="40"/>
  <c r="B5" i="35"/>
  <c r="D6" i="33"/>
  <c r="E5" i="40"/>
  <c r="F7" i="40"/>
  <c r="D8" i="33"/>
  <c r="D13" i="33"/>
  <c r="C4" i="35"/>
  <c r="D29" i="33"/>
  <c r="D22" i="33"/>
  <c r="E12" i="40"/>
  <c r="D35" i="33"/>
  <c r="C20" i="35"/>
  <c r="F4" i="40"/>
  <c r="E14" i="40"/>
  <c r="C12" i="35"/>
  <c r="D21" i="33"/>
  <c r="D5" i="33"/>
  <c r="B10" i="35"/>
  <c r="E18" i="40"/>
  <c r="B26" i="35"/>
  <c r="E10" i="40"/>
  <c r="E11" i="40"/>
  <c r="D38" i="33"/>
  <c r="D28" i="33"/>
  <c r="D17" i="35"/>
  <c r="D11" i="33"/>
  <c r="C9" i="35"/>
  <c r="D36" i="33"/>
  <c r="C24" i="35"/>
  <c r="D37" i="33"/>
  <c r="B13" i="35"/>
  <c r="D25" i="33"/>
  <c r="D26" i="35"/>
  <c r="D32" i="33"/>
  <c r="D23" i="33"/>
  <c r="B15" i="35"/>
  <c r="D7" i="33"/>
  <c r="G13" i="45" a="1"/>
  <c r="L3" i="45"/>
  <c r="B9" i="35"/>
  <c r="D9" i="35"/>
  <c r="G20" i="45" l="1"/>
  <c r="G16" i="45"/>
  <c r="G17" i="45"/>
  <c r="G14" i="45"/>
  <c r="G13" i="45"/>
  <c r="G18" i="45"/>
  <c r="G19" i="45"/>
  <c r="G21" i="45"/>
  <c r="G15" i="45"/>
  <c r="D13" i="35"/>
  <c r="F10" i="40"/>
  <c r="I15" i="45"/>
  <c r="L9" i="40"/>
  <c r="E21" i="33"/>
  <c r="B7" i="35"/>
  <c r="D16" i="35"/>
  <c r="F6" i="40"/>
  <c r="J18" i="45"/>
  <c r="E17" i="33"/>
  <c r="H16" i="45"/>
  <c r="E24" i="33"/>
  <c r="J14" i="45"/>
  <c r="F18" i="40"/>
  <c r="H21" i="45"/>
  <c r="F5" i="40"/>
  <c r="L18" i="45"/>
  <c r="L13" i="45"/>
  <c r="I17" i="45"/>
  <c r="D27" i="35"/>
  <c r="F11" i="40"/>
  <c r="D12" i="35"/>
  <c r="J21" i="45"/>
  <c r="K19" i="45"/>
  <c r="H19" i="45"/>
  <c r="L21" i="45"/>
  <c r="L15" i="45"/>
  <c r="Z6" i="45"/>
  <c r="J13" i="45"/>
  <c r="E27" i="33"/>
  <c r="H14" i="45"/>
  <c r="K18" i="45"/>
  <c r="L17" i="45"/>
  <c r="E18" i="33"/>
  <c r="F12" i="40"/>
  <c r="F15" i="40"/>
  <c r="I13" i="45"/>
  <c r="K21" i="45"/>
  <c r="I21" i="45"/>
  <c r="L20" i="40"/>
  <c r="E5" i="33"/>
  <c r="D18" i="35"/>
  <c r="E7" i="33"/>
  <c r="B27" i="35"/>
  <c r="B25" i="35"/>
  <c r="H18" i="45"/>
  <c r="L11" i="40"/>
  <c r="F22" i="40"/>
  <c r="L17" i="40"/>
  <c r="L5" i="40"/>
  <c r="D3" i="35"/>
  <c r="D8" i="35"/>
  <c r="B23" i="35"/>
  <c r="L10" i="40"/>
  <c r="E32" i="33"/>
  <c r="D7" i="35"/>
  <c r="D25" i="35"/>
  <c r="E3" i="33"/>
  <c r="I18" i="45"/>
  <c r="F8" i="40"/>
  <c r="E38" i="33"/>
  <c r="D34" i="29"/>
  <c r="D28" i="29" s="1"/>
  <c r="L13" i="40"/>
  <c r="F19" i="40"/>
  <c r="L14" i="45"/>
  <c r="L15" i="40"/>
  <c r="K13" i="45"/>
  <c r="H20" i="45"/>
  <c r="L7" i="40"/>
  <c r="D14" i="35"/>
  <c r="L14" i="40"/>
  <c r="B16" i="35"/>
  <c r="H13" i="45"/>
  <c r="E37" i="33"/>
  <c r="K14" i="45"/>
  <c r="D24" i="35"/>
  <c r="F21" i="40"/>
  <c r="E15" i="33"/>
  <c r="L20" i="45"/>
  <c r="D20" i="35"/>
  <c r="E40" i="33"/>
  <c r="I14" i="45"/>
  <c r="E4" i="33"/>
  <c r="B14" i="35"/>
  <c r="J15" i="45"/>
  <c r="E36" i="33"/>
  <c r="L19" i="45"/>
  <c r="E25" i="33"/>
  <c r="J16" i="45"/>
  <c r="E26" i="33"/>
  <c r="L6" i="40"/>
  <c r="E22" i="33"/>
  <c r="D4" i="35"/>
  <c r="B19" i="35"/>
  <c r="B12" i="35"/>
  <c r="E33" i="33"/>
  <c r="F20" i="40"/>
  <c r="Z7" i="45"/>
  <c r="B17" i="35"/>
  <c r="D5" i="35"/>
  <c r="K16" i="45"/>
  <c r="B22" i="35"/>
  <c r="I16" i="45"/>
  <c r="F17" i="40"/>
  <c r="C37" i="29"/>
  <c r="L16" i="40"/>
  <c r="I19" i="45"/>
  <c r="D19" i="35"/>
  <c r="I20" i="45"/>
  <c r="F13" i="40"/>
  <c r="F14" i="40"/>
  <c r="B8" i="35"/>
  <c r="L18" i="40"/>
  <c r="E16" i="33"/>
  <c r="E28" i="33"/>
  <c r="E20" i="33"/>
  <c r="E29" i="33"/>
  <c r="L16" i="45"/>
  <c r="F16" i="40"/>
  <c r="B20" i="35"/>
  <c r="K15" i="45"/>
  <c r="E39" i="33"/>
  <c r="J17" i="45"/>
  <c r="L19" i="40"/>
  <c r="L8" i="40"/>
  <c r="D21" i="35"/>
  <c r="K17" i="45"/>
  <c r="S8" i="45"/>
  <c r="E35" i="33"/>
  <c r="E34" i="33"/>
  <c r="E19" i="33"/>
  <c r="S6" i="45"/>
  <c r="K20" i="45"/>
  <c r="B6" i="35"/>
  <c r="L22" i="40"/>
  <c r="D35" i="29"/>
  <c r="L12" i="40"/>
  <c r="F9" i="40"/>
  <c r="E6" i="33"/>
  <c r="B21" i="35"/>
  <c r="D6" i="35"/>
  <c r="H15" i="45"/>
  <c r="H17" i="45"/>
  <c r="B4" i="35"/>
  <c r="B24" i="35"/>
  <c r="Z8" i="45"/>
  <c r="E30" i="33"/>
  <c r="E31" i="33"/>
  <c r="D11" i="35"/>
  <c r="L21" i="40"/>
  <c r="B18" i="35"/>
  <c r="E23" i="33"/>
  <c r="J20" i="45"/>
  <c r="J19" i="45"/>
  <c r="C38" i="29"/>
  <c r="H19" i="51"/>
  <c r="G12" i="52"/>
  <c r="AA6" i="45"/>
  <c r="G22" i="40"/>
  <c r="G6" i="40"/>
  <c r="H4" i="40"/>
  <c r="H5" i="52"/>
  <c r="H8" i="40"/>
  <c r="E26" i="35"/>
  <c r="H18" i="40"/>
  <c r="N10" i="40"/>
  <c r="E22" i="35"/>
  <c r="N15" i="52"/>
  <c r="H9" i="51"/>
  <c r="G16" i="52"/>
  <c r="H17" i="40"/>
  <c r="G14" i="40"/>
  <c r="N17" i="52"/>
  <c r="H6" i="51"/>
  <c r="H20" i="40"/>
  <c r="H6" i="40"/>
  <c r="N14" i="51"/>
  <c r="N16" i="40"/>
  <c r="E14" i="35"/>
  <c r="E18" i="35"/>
  <c r="N11" i="51"/>
  <c r="N16" i="52"/>
  <c r="G18" i="40"/>
  <c r="G7" i="51"/>
  <c r="G15" i="52"/>
  <c r="G9" i="40"/>
  <c r="E20" i="35"/>
  <c r="H21" i="40"/>
  <c r="H6" i="52"/>
  <c r="H17" i="52"/>
  <c r="G15" i="40"/>
  <c r="E11" i="35"/>
  <c r="G13" i="40"/>
  <c r="H8" i="52"/>
  <c r="H14" i="40"/>
  <c r="H7" i="40"/>
  <c r="H14" i="52"/>
  <c r="E12" i="35"/>
  <c r="G16" i="40"/>
  <c r="AA3" i="45"/>
  <c r="G4" i="52"/>
  <c r="N14" i="52"/>
  <c r="N20" i="51"/>
  <c r="N11" i="40"/>
  <c r="H10" i="52"/>
  <c r="G5" i="40"/>
  <c r="G11" i="52"/>
  <c r="AA4" i="45"/>
  <c r="H10" i="40"/>
  <c r="G8" i="52"/>
  <c r="E15" i="35"/>
  <c r="N7" i="40"/>
  <c r="G6" i="51"/>
  <c r="G22" i="51"/>
  <c r="E16" i="35"/>
  <c r="G11" i="51"/>
  <c r="H12" i="51"/>
  <c r="H16" i="51"/>
  <c r="U4" i="45"/>
  <c r="G16" i="51"/>
  <c r="H9" i="52"/>
  <c r="G17" i="40"/>
  <c r="H4" i="51"/>
  <c r="G8" i="51"/>
  <c r="H16" i="52"/>
  <c r="N10" i="51"/>
  <c r="N8" i="52"/>
  <c r="H5" i="40"/>
  <c r="U7" i="45"/>
  <c r="E23" i="35"/>
  <c r="N9" i="51"/>
  <c r="G4" i="51"/>
  <c r="H4" i="52"/>
  <c r="G21" i="40"/>
  <c r="H11" i="40"/>
  <c r="N21" i="40"/>
  <c r="E10" i="35"/>
  <c r="H13" i="51"/>
  <c r="G20" i="51"/>
  <c r="M12" i="45" a="1"/>
  <c r="AA7" i="45"/>
  <c r="N22" i="40"/>
  <c r="N17" i="51"/>
  <c r="H20" i="51"/>
  <c r="G6" i="52"/>
  <c r="T7" i="45"/>
  <c r="G9" i="51"/>
  <c r="G8" i="40"/>
  <c r="E25" i="35"/>
  <c r="H22" i="40"/>
  <c r="T5" i="45"/>
  <c r="N12" i="52"/>
  <c r="E9" i="35"/>
  <c r="AA5" i="45"/>
  <c r="N6" i="51"/>
  <c r="G20" i="40"/>
  <c r="H13" i="40"/>
  <c r="N19" i="51"/>
  <c r="G13" i="52"/>
  <c r="E3" i="35"/>
  <c r="T4" i="45"/>
  <c r="H11" i="52"/>
  <c r="N5" i="51"/>
  <c r="G15" i="51"/>
  <c r="G13" i="51"/>
  <c r="U5" i="45"/>
  <c r="N21" i="51"/>
  <c r="N15" i="51"/>
  <c r="E4" i="35"/>
  <c r="E17" i="35"/>
  <c r="N17" i="40"/>
  <c r="H15" i="40"/>
  <c r="H21" i="51"/>
  <c r="N4" i="40"/>
  <c r="H16" i="40"/>
  <c r="G17" i="52"/>
  <c r="G9" i="52"/>
  <c r="G4" i="40"/>
  <c r="G10" i="51"/>
  <c r="G19" i="51"/>
  <c r="N4" i="51"/>
  <c r="N8" i="40"/>
  <c r="N12" i="40"/>
  <c r="G10" i="40"/>
  <c r="N13" i="52"/>
  <c r="H14" i="51"/>
  <c r="H11" i="51"/>
  <c r="N11" i="52"/>
  <c r="N13" i="40"/>
  <c r="G18" i="51"/>
  <c r="N19" i="40"/>
  <c r="N6" i="40"/>
  <c r="E7" i="35"/>
  <c r="H7" i="52"/>
  <c r="H9" i="40"/>
  <c r="E24" i="35"/>
  <c r="U6" i="45"/>
  <c r="G7" i="52"/>
  <c r="E13" i="35"/>
  <c r="G5" i="52"/>
  <c r="AA8" i="45"/>
  <c r="H15" i="52"/>
  <c r="G12" i="51"/>
  <c r="G10" i="52"/>
  <c r="N5" i="52"/>
  <c r="N12" i="51"/>
  <c r="G7" i="40"/>
  <c r="E5" i="35"/>
  <c r="E8" i="35"/>
  <c r="N18" i="51"/>
  <c r="T3" i="45"/>
  <c r="N22" i="51"/>
  <c r="N8" i="51"/>
  <c r="N20" i="40"/>
  <c r="H7" i="51"/>
  <c r="G17" i="51"/>
  <c r="E21" i="35"/>
  <c r="H12" i="52"/>
  <c r="H22" i="51"/>
  <c r="N9" i="52"/>
  <c r="H15" i="51"/>
  <c r="N4" i="52"/>
  <c r="G14" i="51"/>
  <c r="N9" i="40"/>
  <c r="N6" i="52"/>
  <c r="H17" i="51"/>
  <c r="H18" i="51"/>
  <c r="G21" i="51"/>
  <c r="N16" i="51"/>
  <c r="T8" i="45"/>
  <c r="H10" i="51"/>
  <c r="H5" i="51"/>
  <c r="G14" i="52"/>
  <c r="E19" i="35"/>
  <c r="G12" i="40"/>
  <c r="N18" i="40"/>
  <c r="H12" i="40"/>
  <c r="E27" i="35"/>
  <c r="N14" i="40"/>
  <c r="N10" i="52"/>
  <c r="N7" i="52"/>
  <c r="U8" i="45"/>
  <c r="N15" i="40"/>
  <c r="N5" i="40"/>
  <c r="G19" i="40"/>
  <c r="N7" i="51"/>
  <c r="E6" i="35"/>
  <c r="T6" i="45"/>
  <c r="H19" i="40"/>
  <c r="H8" i="51"/>
  <c r="G5" i="51"/>
  <c r="N13" i="51"/>
  <c r="G11" i="40"/>
  <c r="H13" i="52"/>
  <c r="S7" i="45"/>
  <c r="S3" i="45"/>
  <c r="S5" i="45"/>
  <c r="I11" i="51" l="1"/>
  <c r="I11" i="40"/>
  <c r="I18" i="51"/>
  <c r="I22" i="51"/>
  <c r="I5" i="51"/>
  <c r="I13" i="52"/>
  <c r="I6" i="51"/>
  <c r="I8" i="51"/>
  <c r="I15" i="52"/>
  <c r="I8" i="40"/>
  <c r="I15" i="40"/>
  <c r="I9" i="51"/>
  <c r="V6" i="45"/>
  <c r="I21" i="51"/>
  <c r="I20" i="40"/>
  <c r="I7" i="51"/>
  <c r="V7" i="45"/>
  <c r="I8" i="52"/>
  <c r="I16" i="51"/>
  <c r="I6" i="52"/>
  <c r="I14" i="40"/>
  <c r="I19" i="40"/>
  <c r="I11" i="52"/>
  <c r="I7" i="40"/>
  <c r="I17" i="40"/>
  <c r="I18" i="40"/>
  <c r="I5" i="40"/>
  <c r="I16" i="52"/>
  <c r="I9" i="40"/>
  <c r="M15" i="45"/>
  <c r="M17" i="45"/>
  <c r="M16" i="45"/>
  <c r="M21" i="45"/>
  <c r="M19" i="45"/>
  <c r="M20" i="45"/>
  <c r="M18" i="45"/>
  <c r="M14" i="45"/>
  <c r="M12" i="45"/>
  <c r="M13" i="45"/>
  <c r="I14" i="51"/>
  <c r="I10" i="52"/>
  <c r="I20" i="51"/>
  <c r="I12" i="51"/>
  <c r="V5" i="45"/>
  <c r="I4" i="52"/>
  <c r="I10" i="40"/>
  <c r="I5" i="52"/>
  <c r="I16" i="40"/>
  <c r="I21" i="40"/>
  <c r="I12" i="40"/>
  <c r="I7" i="52"/>
  <c r="I17" i="51"/>
  <c r="I19" i="51"/>
  <c r="I4" i="51"/>
  <c r="I6" i="40"/>
  <c r="I14" i="52"/>
  <c r="I10" i="51"/>
  <c r="I13" i="51"/>
  <c r="I22" i="40"/>
  <c r="I4" i="40"/>
  <c r="I15" i="51"/>
  <c r="I9" i="52"/>
  <c r="I13" i="40"/>
  <c r="I12" i="52"/>
  <c r="V8" i="45"/>
  <c r="I17" i="52"/>
  <c r="V4" i="45"/>
  <c r="D38" i="29"/>
  <c r="D37" i="29"/>
  <c r="S4" i="45"/>
  <c r="M27" i="33" l="1"/>
  <c r="M26" i="33"/>
  <c r="M46" i="33"/>
  <c r="M33" i="33"/>
  <c r="M57" i="33"/>
  <c r="M24" i="33"/>
  <c r="M23" i="33"/>
  <c r="M6" i="33"/>
  <c r="M36" i="33"/>
  <c r="M40" i="33"/>
  <c r="M53" i="33"/>
  <c r="M58" i="33"/>
  <c r="M41" i="33"/>
  <c r="M5" i="33"/>
  <c r="M8" i="33"/>
  <c r="M4" i="33"/>
  <c r="M30" i="33"/>
  <c r="M37" i="33"/>
  <c r="M63" i="33"/>
  <c r="M44" i="33"/>
  <c r="M45" i="33"/>
  <c r="M7" i="33"/>
  <c r="M12" i="33"/>
  <c r="M16" i="33"/>
  <c r="M25" i="33"/>
  <c r="M28" i="33"/>
  <c r="M42" i="33"/>
  <c r="M52" i="33"/>
  <c r="M61" i="33"/>
  <c r="M9" i="33"/>
  <c r="M10" i="33"/>
  <c r="M20" i="33"/>
  <c r="M38" i="33"/>
  <c r="M39" i="33"/>
  <c r="M54" i="33"/>
  <c r="M49" i="33"/>
  <c r="M48" i="33"/>
  <c r="M13" i="33"/>
  <c r="M14" i="33"/>
  <c r="M17" i="33"/>
  <c r="M34" i="33"/>
  <c r="M35" i="33"/>
  <c r="M55" i="33"/>
  <c r="M47" i="33"/>
  <c r="M18" i="33"/>
  <c r="M11" i="33"/>
  <c r="M29" i="33"/>
  <c r="M31" i="33"/>
  <c r="M51" i="33"/>
  <c r="M56" i="33"/>
  <c r="M15" i="33"/>
  <c r="M32" i="33"/>
  <c r="N25" i="33" s="1"/>
  <c r="M43" i="33"/>
  <c r="M19" i="33"/>
  <c r="M22" i="33"/>
  <c r="N8" i="33"/>
  <c r="M59" i="33"/>
  <c r="M50" i="33"/>
  <c r="M3" i="33"/>
  <c r="N2" i="33" s="1"/>
  <c r="M60" i="33"/>
  <c r="M62" i="33"/>
  <c r="N41" i="33" s="1"/>
  <c r="M21" i="33"/>
  <c r="N15" i="33" s="1"/>
  <c r="D19" i="29"/>
  <c r="F16" i="35"/>
  <c r="F12" i="35"/>
  <c r="F26" i="35"/>
  <c r="F22" i="35"/>
  <c r="F5" i="35"/>
  <c r="F25" i="35"/>
  <c r="R6" i="40"/>
  <c r="R9" i="40"/>
  <c r="R10" i="40"/>
  <c r="F11" i="35"/>
  <c r="F27" i="35"/>
  <c r="F4" i="35"/>
  <c r="F20" i="35"/>
  <c r="R8" i="40"/>
  <c r="F18" i="35"/>
  <c r="F3" i="35"/>
  <c r="F8" i="35"/>
  <c r="F21" i="35"/>
  <c r="R6" i="51"/>
  <c r="R10" i="51" s="1"/>
  <c r="F23" i="35"/>
  <c r="F6" i="35"/>
  <c r="F7" i="35"/>
  <c r="F24" i="35"/>
  <c r="R6" i="52"/>
  <c r="F13" i="35"/>
  <c r="R8" i="52"/>
  <c r="R7" i="51"/>
  <c r="F9" i="35"/>
  <c r="F15" i="35"/>
  <c r="F19" i="35"/>
  <c r="R10" i="52"/>
  <c r="R9" i="51"/>
  <c r="F17" i="35"/>
  <c r="R7" i="40"/>
  <c r="R13" i="40" s="1" a="1"/>
  <c r="F10" i="35"/>
  <c r="AE6" i="45"/>
  <c r="AE8" i="45"/>
  <c r="R8" i="51"/>
  <c r="R13" i="51" a="1"/>
  <c r="AE10" i="45"/>
  <c r="AE7" i="45"/>
  <c r="F14" i="35"/>
  <c r="AE9" i="45"/>
  <c r="R9" i="52"/>
  <c r="R7" i="52"/>
  <c r="G14" i="35" l="1"/>
  <c r="H51" i="33" s="1"/>
  <c r="R15" i="51"/>
  <c r="R13" i="51"/>
  <c r="R17" i="51"/>
  <c r="R16" i="51"/>
  <c r="R14" i="51"/>
  <c r="G10" i="35"/>
  <c r="H47" i="33" s="1"/>
  <c r="G17" i="35"/>
  <c r="H53" i="33" s="1"/>
  <c r="G19" i="35"/>
  <c r="H55" i="33" s="1"/>
  <c r="G15" i="35"/>
  <c r="G9" i="35"/>
  <c r="H46" i="33" s="1"/>
  <c r="G13" i="35"/>
  <c r="H50" i="33" s="1"/>
  <c r="G24" i="35"/>
  <c r="H60" i="33" s="1"/>
  <c r="G7" i="35"/>
  <c r="H44" i="33" s="1"/>
  <c r="G6" i="35"/>
  <c r="H43" i="33" s="1"/>
  <c r="G23" i="35"/>
  <c r="H59" i="33" s="1"/>
  <c r="G21" i="35"/>
  <c r="H57" i="33" s="1"/>
  <c r="G8" i="35"/>
  <c r="H45" i="33" s="1"/>
  <c r="G3" i="35"/>
  <c r="G18" i="35"/>
  <c r="H54" i="33" s="1"/>
  <c r="G20" i="35"/>
  <c r="H56" i="33" s="1"/>
  <c r="G4" i="35"/>
  <c r="H41" i="33" s="1"/>
  <c r="G27" i="35"/>
  <c r="H63" i="33" s="1"/>
  <c r="G11" i="35"/>
  <c r="H48" i="33" s="1"/>
  <c r="R16" i="40"/>
  <c r="R13" i="40"/>
  <c r="R15" i="40"/>
  <c r="R14" i="40"/>
  <c r="R17" i="40"/>
  <c r="G25" i="35"/>
  <c r="H61" i="33" s="1"/>
  <c r="G5" i="35"/>
  <c r="H42" i="33" s="1"/>
  <c r="G22" i="35"/>
  <c r="H58" i="33" s="1"/>
  <c r="G26" i="35"/>
  <c r="H62" i="33" s="1"/>
  <c r="G12" i="35"/>
  <c r="H49" i="33" s="1"/>
  <c r="G16" i="35"/>
  <c r="H52" i="33" s="1"/>
  <c r="R13" i="52" a="1"/>
  <c r="AE13" i="45" a="1"/>
  <c r="AE17" i="45" l="1"/>
  <c r="AE16" i="45"/>
  <c r="AE14" i="45"/>
  <c r="AE15" i="45"/>
  <c r="AE13" i="45"/>
  <c r="R17" i="52"/>
  <c r="R15" i="52"/>
  <c r="R16" i="52"/>
  <c r="R14" i="52"/>
  <c r="R13" i="52"/>
  <c r="AE18" i="45" l="1"/>
  <c r="W3" i="45"/>
  <c r="V12" i="45"/>
  <c r="H4" i="33"/>
  <c r="W7" i="45"/>
  <c r="Y7" i="45"/>
  <c r="X7" i="45"/>
  <c r="W6" i="45"/>
  <c r="Y6" i="45"/>
  <c r="X6" i="45"/>
  <c r="V13" i="45"/>
  <c r="H5" i="33"/>
  <c r="V11" i="45"/>
  <c r="H3" i="33"/>
  <c r="R18" i="52"/>
  <c r="J17" i="52"/>
  <c r="L17" i="52"/>
  <c r="K17" i="52" s="1"/>
  <c r="J4" i="52"/>
  <c r="L4" i="52"/>
  <c r="K4" i="52" s="1"/>
  <c r="I28" i="52"/>
  <c r="H33" i="33"/>
  <c r="I29" i="52"/>
  <c r="H34" i="33"/>
  <c r="I31" i="52"/>
  <c r="H36" i="33"/>
  <c r="J9" i="52"/>
  <c r="L9" i="52"/>
  <c r="K9" i="52" s="1"/>
  <c r="I21" i="52"/>
  <c r="H26" i="33"/>
  <c r="J12" i="52"/>
  <c r="L12" i="52"/>
  <c r="K12" i="52" s="1"/>
  <c r="I34" i="52"/>
  <c r="H39" i="33"/>
  <c r="J16" i="52"/>
  <c r="L16" i="52"/>
  <c r="K16" i="52"/>
  <c r="W5" i="45"/>
  <c r="Y5" i="45"/>
  <c r="X5" i="45"/>
  <c r="W4" i="45"/>
  <c r="Y4" i="45"/>
  <c r="X4" i="45"/>
  <c r="V14" i="45"/>
  <c r="H6" i="33"/>
  <c r="J7" i="52"/>
  <c r="L7" i="52"/>
  <c r="K7" i="52"/>
  <c r="J14" i="52"/>
  <c r="L14" i="52"/>
  <c r="K14" i="52"/>
  <c r="I33" i="52"/>
  <c r="H38" i="33"/>
  <c r="I24" i="52"/>
  <c r="H29" i="33"/>
  <c r="J5" i="52"/>
  <c r="L5" i="52"/>
  <c r="K5" i="52"/>
  <c r="J3" i="52"/>
  <c r="G3" i="52"/>
  <c r="J11" i="52"/>
  <c r="L11" i="52"/>
  <c r="K11" i="52"/>
  <c r="I25" i="52"/>
  <c r="H30" i="33"/>
  <c r="I32" i="52"/>
  <c r="H37" i="33"/>
  <c r="R18" i="51"/>
  <c r="J21" i="51"/>
  <c r="M21" i="51"/>
  <c r="K21" i="51" s="1"/>
  <c r="I25" i="51"/>
  <c r="H8" i="33"/>
  <c r="J8" i="51"/>
  <c r="M8" i="51"/>
  <c r="K8" i="51"/>
  <c r="J9" i="51"/>
  <c r="M9" i="51"/>
  <c r="K9" i="51"/>
  <c r="J11" i="51"/>
  <c r="M11" i="51"/>
  <c r="K11" i="51"/>
  <c r="J12" i="51"/>
  <c r="M12" i="51"/>
  <c r="K12" i="51"/>
  <c r="I28" i="51"/>
  <c r="H11" i="33"/>
  <c r="I29" i="51"/>
  <c r="H12" i="33"/>
  <c r="J20" i="51"/>
  <c r="M20" i="51"/>
  <c r="K20" i="51"/>
  <c r="I30" i="51"/>
  <c r="H13" i="33"/>
  <c r="I27" i="51"/>
  <c r="H10" i="33"/>
  <c r="I26" i="51"/>
  <c r="H9" i="33"/>
  <c r="J17" i="51"/>
  <c r="M17" i="51"/>
  <c r="K17" i="51"/>
  <c r="J7" i="51"/>
  <c r="M7" i="51"/>
  <c r="K7" i="51"/>
  <c r="J4" i="51"/>
  <c r="M4" i="51"/>
  <c r="K4" i="51"/>
  <c r="J19" i="51"/>
  <c r="M19" i="51"/>
  <c r="K19" i="51"/>
  <c r="I31" i="51"/>
  <c r="H14" i="33"/>
  <c r="I22" i="52"/>
  <c r="H27" i="33"/>
  <c r="J15" i="52"/>
  <c r="L15" i="52"/>
  <c r="K15" i="52"/>
  <c r="J6" i="52"/>
  <c r="L6" i="52"/>
  <c r="K6" i="52"/>
  <c r="I26" i="52"/>
  <c r="H31" i="33"/>
  <c r="J10" i="51"/>
  <c r="M10" i="51"/>
  <c r="K10" i="51"/>
  <c r="J18" i="51"/>
  <c r="M18" i="51"/>
  <c r="K18" i="51"/>
  <c r="J15" i="51"/>
  <c r="M15" i="51"/>
  <c r="K15" i="51"/>
  <c r="J13" i="51"/>
  <c r="M13" i="51"/>
  <c r="K13" i="51"/>
  <c r="J16" i="51"/>
  <c r="M16" i="51"/>
  <c r="K16" i="51"/>
  <c r="J3" i="51"/>
  <c r="G3" i="51"/>
  <c r="J13" i="52"/>
  <c r="L13" i="52"/>
  <c r="K13" i="52" s="1"/>
  <c r="I27" i="52"/>
  <c r="H32" i="33"/>
  <c r="J10" i="52"/>
  <c r="L10" i="52"/>
  <c r="K10" i="52"/>
  <c r="I30" i="52"/>
  <c r="H35" i="33"/>
  <c r="J14" i="51"/>
  <c r="M14" i="51"/>
  <c r="K14" i="51" s="1"/>
  <c r="J22" i="51"/>
  <c r="M22" i="51"/>
  <c r="K22" i="51"/>
  <c r="I20" i="52"/>
  <c r="H25" i="33"/>
  <c r="J8" i="52"/>
  <c r="L8" i="52"/>
  <c r="K8" i="52"/>
  <c r="I35" i="52"/>
  <c r="H40" i="33"/>
  <c r="I23" i="52"/>
  <c r="H28" i="33"/>
  <c r="R18" i="40"/>
  <c r="J17" i="40"/>
  <c r="M17" i="40"/>
  <c r="K17" i="40" s="1"/>
  <c r="J15" i="40"/>
  <c r="M15" i="40"/>
  <c r="K15" i="40" s="1"/>
  <c r="J8" i="40"/>
  <c r="M8" i="40"/>
  <c r="K8" i="40"/>
  <c r="I30" i="40"/>
  <c r="H20" i="33"/>
  <c r="J16" i="40"/>
  <c r="M16" i="40"/>
  <c r="K16" i="40"/>
  <c r="I33" i="40"/>
  <c r="H23" i="33"/>
  <c r="J21" i="40"/>
  <c r="M21" i="40"/>
  <c r="K21" i="40"/>
  <c r="I28" i="40"/>
  <c r="H18" i="33"/>
  <c r="J20" i="40"/>
  <c r="M20" i="40"/>
  <c r="K20" i="40"/>
  <c r="J11" i="40"/>
  <c r="M11" i="40"/>
  <c r="K11" i="40"/>
  <c r="J10" i="40"/>
  <c r="M10" i="40"/>
  <c r="K10" i="40"/>
  <c r="I25" i="40"/>
  <c r="H15" i="33"/>
  <c r="I26" i="40"/>
  <c r="H16" i="33"/>
  <c r="J9" i="40"/>
  <c r="M9" i="40"/>
  <c r="K9" i="40"/>
  <c r="I27" i="40"/>
  <c r="H17" i="33"/>
  <c r="I34" i="40"/>
  <c r="H24" i="33"/>
  <c r="J4" i="40"/>
  <c r="M4" i="40"/>
  <c r="K4" i="40"/>
  <c r="J7" i="40"/>
  <c r="M7" i="40"/>
  <c r="K7" i="40"/>
  <c r="J13" i="40"/>
  <c r="M13" i="40"/>
  <c r="K13" i="40"/>
  <c r="J19" i="40"/>
  <c r="M19" i="40"/>
  <c r="K19" i="40"/>
  <c r="I29" i="40"/>
  <c r="H19" i="33"/>
  <c r="J12" i="40"/>
  <c r="M12" i="40"/>
  <c r="K12" i="40" s="1"/>
  <c r="J14" i="40"/>
  <c r="M14" i="40"/>
  <c r="K14" i="40"/>
  <c r="I32" i="40"/>
  <c r="H22" i="33"/>
  <c r="I31" i="40"/>
  <c r="H21" i="33"/>
  <c r="J3" i="40"/>
  <c r="G3" i="40"/>
  <c r="J5" i="40"/>
  <c r="M5" i="40"/>
  <c r="K5" i="40"/>
  <c r="J6" i="40"/>
  <c r="M6" i="40"/>
  <c r="K6" i="40"/>
  <c r="W8" i="45"/>
  <c r="Y8" i="45"/>
  <c r="X8" i="45"/>
  <c r="J18" i="40"/>
  <c r="M18" i="40"/>
  <c r="K18" i="40"/>
  <c r="J6" i="51"/>
  <c r="M6" i="51"/>
  <c r="K6" i="51"/>
  <c r="J5" i="51"/>
  <c r="M5" i="51"/>
  <c r="K5" i="51"/>
  <c r="J22" i="40"/>
  <c r="M22" i="40"/>
  <c r="K22" i="40"/>
  <c r="V15" i="45"/>
  <c r="H7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<sst xmlns="http://schemas.openxmlformats.org/spreadsheetml/2006/main" count="406" uniqueCount="139">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</sst>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</v>
          </cell>
        </row>
        <row r="7">
          <cell r="D7">
            <v>0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Q5</v>
          </cell>
        </row>
        <row r="7">
          <cell r="D7" t="str">
            <v>U5</v>
          </cell>
        </row>
      </sheetData>
      <sheetData sheetId="10">
        <row r="6">
          <cell r="D6" t="str">
            <v>Future Code</v>
          </cell>
        </row>
        <row r="7">
          <cell r="D7" t="str">
            <v>Q5</v>
          </cell>
        </row>
      </sheetData>
      <sheetData sheetId="11">
        <row r="6">
          <cell r="D6" t="str">
            <v>Q5</v>
          </cell>
        </row>
        <row r="7">
          <cell r="D7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H6</v>
          </cell>
        </row>
        <row r="7">
          <cell r="D7" t="str">
            <v>M6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42215</v>
          </cell>
        </row>
        <row r="7">
          <cell r="D7">
            <v>42214</v>
          </cell>
        </row>
      </sheetData>
      <sheetData sheetId="29">
        <row r="6">
          <cell r="D6">
            <v>42215</v>
          </cell>
        </row>
        <row r="7">
          <cell r="D7">
            <v>42214</v>
          </cell>
        </row>
      </sheetData>
      <sheetData sheetId="30">
        <row r="6">
          <cell r="D6">
            <v>42216</v>
          </cell>
        </row>
        <row r="7">
          <cell r="D7">
            <v>42215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Aug  4 2015 10:20:51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42216.718761574077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0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42220</v>
      </c>
      <c r="E17" s="212"/>
      <c r="G17" s="225"/>
      <c r="H17" s="2" t="s">
        <v>21</v>
      </c>
      <c r="I17" s="233">
        <v>42226.757465277777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42216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obj_005d5#0001</v>
      </c>
      <c r="E19" s="212"/>
      <c r="G19" s="225"/>
      <c r="H19" s="2" t="s">
        <v>23</v>
      </c>
      <c r="I19" s="34">
        <f>[1]!TriggerCounter</f>
        <v>1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0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obj_005d4#0001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obj_005d3#0001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42220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42433</v>
      </c>
      <c r="D38" s="38">
        <f>_xll.qlYieldTSDiscount(D34,C38,,Trigger)</f>
        <v>1.0004973015228458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obj_0058e#0001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obj_005bd#0001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42220</v>
      </c>
      <c r="S3" s="331">
        <f>_xll.qlInterestRateIndexMaturity(iborindex1M,R3,Trigger)</f>
        <v>42251</v>
      </c>
      <c r="T3" s="62">
        <f>_xll.qlIndexFixing(iborindex1M,_xll.qlInterestRateIndexFixingDate(iborindex1M,R3,Trigger),TRUE,AllTriggers)</f>
        <v>-7.5000000000040085E-4</v>
      </c>
      <c r="U3" s="239"/>
      <c r="V3" s="239"/>
      <c r="W3" s="190">
        <f>_xll.qlTenorBasisValue(TenorBasis1M,R3,Trigger)</f>
        <v>4.8347425703050442E-4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1.0000113889931339</v>
      </c>
      <c r="AB3" s="257"/>
      <c r="AD3" s="277" t="s">
        <v>135</v>
      </c>
      <c r="AE3" s="190" t="str">
        <f>_xll.qlIborIndex(,,S1,2,Currency,Calendar,"mf",TRUE,DayCounter,Discounting,,Trigger)</f>
        <v>obj_0058a#0001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obj_00594#0001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42220</v>
      </c>
      <c r="S4" s="294">
        <f>_xll.qlInterestRateIndexMaturity(iborindex1M,R4,Trigger)</f>
        <v>42251</v>
      </c>
      <c r="T4" s="190">
        <f>_xll.qlQuoteValue(Q4,LastFixingsTrigger)</f>
        <v>-7.5000000000000002E-4</v>
      </c>
      <c r="U4" s="190">
        <f>_xll.qlIndexFixing(ON_1M_index,_xll.qlInterestRateIndexFixingDate(ON_1M_index,R4),,AllTriggers)</f>
        <v>-1.2334742570309053E-3</v>
      </c>
      <c r="V4" s="258">
        <f>T4-U4</f>
        <v>4.8347425703090525E-4</v>
      </c>
      <c r="W4" s="186">
        <f>_xll.qlTenorBasisValue(TenorBasis1M,R4,Trigger)</f>
        <v>4.8347425703050442E-4</v>
      </c>
      <c r="X4" s="187">
        <f>Y4*10000</f>
        <v>4.0082954316789099E-12</v>
      </c>
      <c r="Y4" s="278">
        <f>V4-W4</f>
        <v>4.0082954316789099E-16</v>
      </c>
      <c r="Z4" s="284">
        <f>_xll.qlDayCounterYearFraction("actual/365 (fixed)",SettlementDate,R4,,,Trigger)</f>
        <v>0</v>
      </c>
      <c r="AA4" s="336">
        <f>_xll.qlYieldTSDiscount(Discounting,R4,,AllTriggers)</f>
        <v>1.0000113889931339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obj_00592#0001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42220</v>
      </c>
      <c r="S5" s="331">
        <f>_xll.qlInterestRateIndexMaturity(iborindex1M,R5,Trigger)</f>
        <v>42251</v>
      </c>
      <c r="T5" s="62">
        <f>_xll.qlIndexFixing(iborindex1M,_xll.qlInterestRateIndexFixingDate(iborindex1M,R5,Trigger),TRUE,AllTriggers)</f>
        <v>-7.5000000000040085E-4</v>
      </c>
      <c r="U5" s="62">
        <f>_xll.qlIndexFixing(ON_1M_index,_xll.qlInterestRateIndexFixingDate(ON_1M_index,R5),,AllTriggers)</f>
        <v>-1.2334742570309053E-3</v>
      </c>
      <c r="V5" s="265">
        <f>T5-U5</f>
        <v>4.8347425703050442E-4</v>
      </c>
      <c r="W5" s="67">
        <f>_xll.qlTenorBasisValue(TenorBasis1M,R5,Trigger)</f>
        <v>4.8347425703050442E-4</v>
      </c>
      <c r="X5" s="240">
        <f>Y5*10000</f>
        <v>0</v>
      </c>
      <c r="Y5" s="234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1.0000113889931339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obj_00593#0001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42251</v>
      </c>
      <c r="S6" s="331">
        <f>_xll.qlInterestRateIndexMaturity(iborindex1M,R6,Trigger)</f>
        <v>42282</v>
      </c>
      <c r="T6" s="62">
        <f>_xll.qlIndexFixing(iborindex1M,_xll.qlInterestRateIndexFixingDate(iborindex1M,R6,Trigger),TRUE,AllTriggers)</f>
        <v>-8.1008052357337793E-4</v>
      </c>
      <c r="U6" s="62">
        <f>_xll.qlIndexFixing(ON_1M_index,_xll.qlInterestRateIndexFixingDate(ON_1M_index,R6),,AllTriggers)</f>
        <v>-1.2468166101861186E-3</v>
      </c>
      <c r="V6" s="265">
        <f>T6-U6</f>
        <v>4.367360866127407E-4</v>
      </c>
      <c r="W6" s="62">
        <f>_xll.qlTenorBasisValue(TenorBasis1M,R6,Trigger)</f>
        <v>4.367360866127407E-4</v>
      </c>
      <c r="X6" s="188">
        <f t="shared" ref="X6:X8" si="1">Y6*10000</f>
        <v>0</v>
      </c>
      <c r="Y6" s="234">
        <f t="shared" ref="Y6:Y8" si="2">V6-W6</f>
        <v>0</v>
      </c>
      <c r="Z6" s="59">
        <f>_xll.qlDayCounterYearFraction("actual/365 (fixed)",SettlementDate,R6,,,Trigger)</f>
        <v>8.4931506849315067E-2</v>
      </c>
      <c r="AA6" s="59">
        <f>_xll.qlYieldTSDiscount(Discounting,R6,,AllTriggers)</f>
        <v>1.0001176173247566</v>
      </c>
      <c r="AB6" s="237" t="b">
        <v>1</v>
      </c>
      <c r="AD6" s="277" t="s">
        <v>126</v>
      </c>
      <c r="AE6" s="282" t="str">
        <f>_xll.qlPolynomialCalibration(,_xll.ohFilter($Z$5:$Z$8,$AB$5:$AB$8),_xll.ohFilter($V$5:$V$8,$AB$5:$AB$8),_xll.ohFilter($AA$5:$AA$8,$AB$5:$AB$8),_xll.ohFilter(AG13:AG17,AF13:AF17),,,,,Trigger)</f>
        <v>obj_005d9#0001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obj_0058f#0001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42282</v>
      </c>
      <c r="S7" s="331">
        <f>_xll.qlInterestRateIndexMaturity(iborindex1M,R7,Trigger)</f>
        <v>42313</v>
      </c>
      <c r="T7" s="62">
        <f>_xll.qlIndexFixing(iborindex1M,_xll.qlInterestRateIndexFixingDate(iborindex1M,R7,Trigger),TRUE,AllTriggers)</f>
        <v>-8.1410843376843666E-4</v>
      </c>
      <c r="U7" s="62">
        <f>_xll.qlIndexFixing(ON_1M_index,_xll.qlInterestRateIndexFixingDate(ON_1M_index,R7),,AllTriggers)</f>
        <v>-1.2861498102456983E-3</v>
      </c>
      <c r="V7" s="265">
        <f>T7-U7</f>
        <v>4.7204137647726167E-4</v>
      </c>
      <c r="W7" s="62">
        <f>_xll.qlTenorBasisValue(TenorBasis1M,R7,Trigger)</f>
        <v>4.7204137647726167E-4</v>
      </c>
      <c r="X7" s="188">
        <f t="shared" si="1"/>
        <v>0</v>
      </c>
      <c r="Y7" s="234">
        <f t="shared" si="2"/>
        <v>0</v>
      </c>
      <c r="Z7" s="59">
        <f>_xll.qlDayCounterYearFraction("actual/365 (fixed)",SettlementDate,R7,,,Trigger)</f>
        <v>0.16986301369863013</v>
      </c>
      <c r="AA7" s="59">
        <f>_xll.qlYieldTSDiscount(Discounting,R7,,AllTriggers)</f>
        <v>1.000225006246154</v>
      </c>
      <c r="AB7" s="237" t="b">
        <v>1</v>
      </c>
      <c r="AD7" s="277" t="s">
        <v>127</v>
      </c>
      <c r="AE7" s="282" t="b">
        <f>_xll.qlPolynomialCalibrationCompute($AE$6,AllTriggers)</f>
        <v>1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obj_00591#0001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42312</v>
      </c>
      <c r="S8" s="332">
        <f>_xll.qlInterestRateIndexMaturity(iborindex1M,R8,Trigger)</f>
        <v>42342</v>
      </c>
      <c r="T8" s="65">
        <f>_xll.qlIndexFixing(iborindex1M,_xll.qlInterestRateIndexFixingDate(iborindex1M,R8,Trigger),TRUE,AllTriggers)</f>
        <v>-9.1225360184710169E-4</v>
      </c>
      <c r="U8" s="65">
        <f>_xll.qlIndexFixing(ON_1M_index,_xll.qlInterestRateIndexFixingDate(ON_1M_index,R8),,AllTriggers)</f>
        <v>-1.2561456424671213E-3</v>
      </c>
      <c r="V8" s="260">
        <f>T8-U8</f>
        <v>3.4389204062001966E-4</v>
      </c>
      <c r="W8" s="65">
        <f>_xll.qlTenorBasisValue(TenorBasis1M,R8,Trigger)</f>
        <v>3.4389204062001966E-4</v>
      </c>
      <c r="X8" s="189">
        <f t="shared" si="1"/>
        <v>0</v>
      </c>
      <c r="Y8" s="235">
        <f t="shared" si="2"/>
        <v>0</v>
      </c>
      <c r="Z8" s="60">
        <f>_xll.qlDayCounterYearFraction("actual/365 (fixed)",SettlementDate,R8,,,Trigger)</f>
        <v>0.25205479452054796</v>
      </c>
      <c r="AA8" s="60">
        <f>_xll.qlYieldTSDiscount(Discounting,R8,,AllTriggers)</f>
        <v>1.0003312442150001</v>
      </c>
      <c r="AB8" s="238" t="b">
        <v>1</v>
      </c>
      <c r="AD8" s="277" t="s">
        <v>128</v>
      </c>
      <c r="AE8" s="282" t="str">
        <f>_xll.qlPolynomialCalibrationEndCriteria(AE6,)</f>
        <v>None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obj_00590#0001</v>
      </c>
      <c r="L9" s="203" t="str">
        <f>_xll.ohRangeRetrieveError(K9)</f>
        <v/>
      </c>
      <c r="M9" s="335" t="b">
        <v>1</v>
      </c>
      <c r="AD9" s="277" t="s">
        <v>89</v>
      </c>
      <c r="AE9" s="190">
        <f>_xll.qlPolynomialCalibrationError(AE6,)</f>
        <v>0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>
        <f>_xll.qlPolynomialCalibrationMaxError(AE6,)</f>
        <v>2.820350411304462E-4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42220</v>
      </c>
      <c r="U11" s="269">
        <f>_xll.qlCalendarAdvance(Calendar,SettlementDate,S11,"Following",,Trigger)</f>
        <v>42221</v>
      </c>
      <c r="V11" s="287">
        <f>_xll.qlTenorBasisForwardRate2(TenorBasis1M,T11,U11,AllTriggers)</f>
        <v>-6.1397711267119348E-4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42220</v>
      </c>
      <c r="U12" s="271">
        <f>_xll.qlCalendarAdvance(Calendar,SettlementDate,S12,"Following",,Trigger)</f>
        <v>42227</v>
      </c>
      <c r="V12" s="288">
        <f>_xll.qlTenorBasisForwardRate2(TenorBasis1M,T12,U12,AllTriggers)</f>
        <v>-6.4516860536846716E-4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obj_005bd#0001</v>
      </c>
      <c r="H13" s="193" t="str">
        <f>_xll.qlRateHelperQuoteName(G13,Trigger)</f>
        <v>Euribor1MLastFixing_Quote</v>
      </c>
      <c r="I13" s="194">
        <f>_xll.qlRateHelperRate(G13,Trigger)</f>
        <v>-7.5000000000000002E-4</v>
      </c>
      <c r="J13" s="195" t="str">
        <f>IFERROR(_xll.qlSwapRateHelperSpread(G13),"--")</f>
        <v>--</v>
      </c>
      <c r="K13" s="329">
        <f>_xll.qlRateHelperEarliestDate(G13,Trigger)</f>
        <v>42220</v>
      </c>
      <c r="L13" s="329">
        <f>_xll.qlRateHelperLatestDate(G13,Trigger)</f>
        <v>42251</v>
      </c>
      <c r="M13" s="196">
        <v>1.0000645875046097</v>
      </c>
      <c r="S13" s="63" t="s">
        <v>40</v>
      </c>
      <c r="T13" s="270">
        <f>_xll.qlCalendarAdvance(Calendar,SettlementDate,0&amp;"M","mf",TRUE,Trigger)</f>
        <v>42220</v>
      </c>
      <c r="U13" s="271">
        <f>_xll.qlCalendarAdvance(Calendar,SettlementDate,S13,"Following",,Trigger)</f>
        <v>42234</v>
      </c>
      <c r="V13" s="288">
        <f>_xll.qlTenorBasisForwardRate2(TenorBasis1M,T13,U13,AllTriggers)</f>
        <v>-6.8501230352069342E-4</v>
      </c>
      <c r="AD13" s="277" t="s">
        <v>113</v>
      </c>
      <c r="AE13" s="190">
        <f t="array" ref="AE13:AE17">_xll.qlPolynomialCalibrationCoefficients($AE$6,AE7)</f>
        <v>4.8347425703050442E-4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obj_00594#0001</v>
      </c>
      <c r="H14" s="193" t="str">
        <f>_xll.qlRateHelperQuoteName(G14,Trigger)</f>
        <v>EUR2X1S_Quote</v>
      </c>
      <c r="I14" s="194">
        <f>_xll.qlRateHelperRate(G14,Trigger)</f>
        <v>-7.8000000000000009E-4</v>
      </c>
      <c r="J14" s="195">
        <f>IFERROR(_xll.qlSwapRateHelperSpread(G14),"--")</f>
        <v>0</v>
      </c>
      <c r="K14" s="329">
        <f>_xll.qlRateHelperEarliestDate(G14,Trigger)</f>
        <v>42220</v>
      </c>
      <c r="L14" s="329">
        <f>_xll.qlRateHelperLatestDate(G14,Trigger)</f>
        <v>42282</v>
      </c>
      <c r="M14" s="196">
        <v>1.0001343538106939</v>
      </c>
      <c r="S14" s="63" t="s">
        <v>41</v>
      </c>
      <c r="T14" s="270">
        <f>_xll.qlCalendarAdvance(Calendar,SettlementDate,0&amp;"M","mf",TRUE,Trigger)</f>
        <v>42220</v>
      </c>
      <c r="U14" s="271">
        <f>_xll.qlCalendarAdvance(Calendar,SettlementDate,S14,"Following",,Trigger)</f>
        <v>42241</v>
      </c>
      <c r="V14" s="288">
        <f>_xll.qlTenorBasisForwardRate2(TenorBasis1M,T14,U14,AllTriggers)</f>
        <v>-7.0848103908513081E-4</v>
      </c>
      <c r="AD14" s="277" t="s">
        <v>114</v>
      </c>
      <c r="AE14" s="190">
        <v>-2.0351450946951731E-3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obj_00592#0001</v>
      </c>
      <c r="H15" s="193" t="str">
        <f>_xll.qlRateHelperQuoteName(G15,Trigger)</f>
        <v>EUR3X1S_Quote</v>
      </c>
      <c r="I15" s="194">
        <f>_xll.qlRateHelperRate(G15,Trigger)</f>
        <v>-7.9000000000000012E-4</v>
      </c>
      <c r="J15" s="195">
        <f>IFERROR(_xll.qlSwapRateHelperSpread(G15),"--")</f>
        <v>0</v>
      </c>
      <c r="K15" s="329">
        <f>_xll.qlRateHelperEarliestDate(G15,Trigger)</f>
        <v>42220</v>
      </c>
      <c r="L15" s="329">
        <f>_xll.qlRateHelperLatestDate(G15,Trigger)</f>
        <v>42312</v>
      </c>
      <c r="M15" s="196">
        <v>1.0002019372776902</v>
      </c>
      <c r="S15" s="267" t="s">
        <v>35</v>
      </c>
      <c r="T15" s="276">
        <f>_xll.qlCalendarAdvance(Calendar,SettlementDate,0&amp;"M","mf",TRUE,Trigger)</f>
        <v>42220</v>
      </c>
      <c r="U15" s="337">
        <f>_xll.qlCalendarAdvance(Calendar,SettlementDate,S15,"mf",TRUE,Trigger)</f>
        <v>42251</v>
      </c>
      <c r="V15" s="338">
        <f>_xll.qlTenorBasisForwardRate2(TenorBasis1M,T15,U15,AllTriggers)</f>
        <v>-7.5586168698523143E-4</v>
      </c>
      <c r="AD15" s="277" t="s">
        <v>115</v>
      </c>
      <c r="AE15" s="190">
        <v>2.3380750249559958E-2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obj_00593#0001</v>
      </c>
      <c r="H16" s="193" t="str">
        <f>_xll.qlRateHelperQuoteName(G16,Trigger)</f>
        <v>EUR4X1S_Quote</v>
      </c>
      <c r="I16" s="194">
        <f>_xll.qlRateHelperRate(G16,Trigger)</f>
        <v>-8.200000000000002E-4</v>
      </c>
      <c r="J16" s="195">
        <f>IFERROR(_xll.qlSwapRateHelperSpread(G16),"--")</f>
        <v>0</v>
      </c>
      <c r="K16" s="329">
        <f>_xll.qlRateHelperEarliestDate(G16,Trigger)</f>
        <v>42220</v>
      </c>
      <c r="L16" s="329">
        <f>_xll.qlRateHelperLatestDate(G16,Trigger)</f>
        <v>42342</v>
      </c>
      <c r="M16" s="196">
        <v>1.0002779795434975</v>
      </c>
      <c r="AD16" s="277" t="s">
        <v>116</v>
      </c>
      <c r="AE16" s="190">
        <v>-6.9443568661646166E-2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obj_0058f#0001</v>
      </c>
      <c r="H17" s="193" t="str">
        <f>_xll.qlRateHelperQuoteName(G17,Trigger)</f>
        <v>EUR5X1S_Quote</v>
      </c>
      <c r="I17" s="194">
        <f>_xll.qlRateHelperRate(G17,Trigger)</f>
        <v>-7.9000000000000012E-4</v>
      </c>
      <c r="J17" s="195">
        <f>IFERROR(_xll.qlSwapRateHelperSpread(G17),"--")</f>
        <v>0</v>
      </c>
      <c r="K17" s="329">
        <f>_xll.qlRateHelperEarliestDate(G17,Trigger)</f>
        <v>42220</v>
      </c>
      <c r="L17" s="329">
        <f>_xll.qlRateHelperLatestDate(G17,Trigger)</f>
        <v>42373</v>
      </c>
      <c r="M17" s="196">
        <v>1.0003358899205321</v>
      </c>
      <c r="AD17" s="277" t="s">
        <v>117</v>
      </c>
      <c r="AE17" s="190" t="e">
        <v>#N/A</v>
      </c>
      <c r="AF17" s="190" t="b">
        <v>0</v>
      </c>
      <c r="AG17" s="190">
        <v>0</v>
      </c>
    </row>
    <row r="18" spans="4:33" ht="11.25" customHeight="1" x14ac:dyDescent="0.2">
      <c r="G18" s="202" t="str">
        <v>obj_00591#0001</v>
      </c>
      <c r="H18" s="193" t="str">
        <f>_xll.qlRateHelperQuoteName(G18,Trigger)</f>
        <v>EUR6X1S_Quote</v>
      </c>
      <c r="I18" s="194">
        <f>_xll.qlRateHelperRate(G18,Trigger)</f>
        <v>-8.3000000000000001E-4</v>
      </c>
      <c r="J18" s="195">
        <f>IFERROR(_xll.qlSwapRateHelperSpread(G18),"--")</f>
        <v>0</v>
      </c>
      <c r="K18" s="329">
        <f>_xll.qlRateHelperEarliestDate(G18,Trigger)</f>
        <v>42220</v>
      </c>
      <c r="L18" s="329">
        <f>_xll.qlRateHelperLatestDate(G18,Trigger)</f>
        <v>42404</v>
      </c>
      <c r="M18" s="196">
        <v>1.0004244395961825</v>
      </c>
      <c r="AD18" s="277" t="s">
        <v>118</v>
      </c>
      <c r="AE18" s="190" t="str">
        <f>_xll.qlPolynomialTenorBasis(,PROPER(Currency)&amp;IborType&amp;$S1,Discounting,SettlementDate,TRUE,_xll.ohFilter(AE13:AE17,AF13:AF17),,Trigger)</f>
        <v>obj_005db#0001</v>
      </c>
      <c r="AF18" s="54"/>
      <c r="AG18" s="55"/>
    </row>
    <row r="19" spans="4:33" ht="11.25" customHeight="1" x14ac:dyDescent="0.2">
      <c r="G19" s="202" t="str">
        <v>obj_00590#0001</v>
      </c>
      <c r="H19" s="193" t="str">
        <f>_xll.qlRateHelperQuoteName(G19,Trigger)</f>
        <v>EUR7X1S_Quote</v>
      </c>
      <c r="I19" s="194">
        <f>_xll.qlRateHelperRate(G19,Trigger)</f>
        <v>-8.4000000000000014E-4</v>
      </c>
      <c r="J19" s="195">
        <f>IFERROR(_xll.qlSwapRateHelperSpread(G19),"--")</f>
        <v>0</v>
      </c>
      <c r="K19" s="329">
        <f>_xll.qlRateHelperEarliestDate(G19,Trigger)</f>
        <v>42220</v>
      </c>
      <c r="L19" s="329">
        <f>_xll.qlRateHelperLatestDate(G19,Trigger)</f>
        <v>42433</v>
      </c>
      <c r="M19" s="196">
        <v>1.0004973015228458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G4" sqref="G4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42220</v>
      </c>
      <c r="F3" s="294">
        <f>_xll.qlInterestRateIndexMaturity(PROPER(Currency)&amp;"ibor"&amp;$F$1,E3)</f>
        <v>42312</v>
      </c>
      <c r="G3" s="258">
        <f>J3+$H$4</f>
        <v>-1.7639116576628863E-4</v>
      </c>
      <c r="H3" s="239"/>
      <c r="I3" s="239"/>
      <c r="J3" s="190">
        <f>_xll.qlTenorBasisValue($R$18,E3,Trigger)</f>
        <v>1.0748017737217085E-3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obj_0058d#0001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42220</v>
      </c>
      <c r="F4" s="294">
        <f>_xll.qlInterestRateIndexMaturity(ON_6M_index,E4)</f>
        <v>42404</v>
      </c>
      <c r="G4" s="190">
        <f>_xll.qlQuoteValue(D4,LastFixingsTrigger)</f>
        <v>-2.3000000000000001E-4</v>
      </c>
      <c r="H4" s="190">
        <f>_xll.qlIndexFixing(ON_3M_index,_xll.qlInterestRateIndexFixingDate(ON_3M_index,E4),,AllTriggers)</f>
        <v>-1.2511929394879971E-3</v>
      </c>
      <c r="I4" s="258">
        <f t="shared" ref="I4:I22" si="0">G4-H4</f>
        <v>1.0211929394879971E-3</v>
      </c>
      <c r="J4" s="186">
        <f>_xll.qlTenorBasisValue($R$18,E4,Trigger)</f>
        <v>1.0748017737217085E-3</v>
      </c>
      <c r="K4" s="187">
        <f>M4*10000</f>
        <v>-0.53608834233711322</v>
      </c>
      <c r="L4" s="284">
        <f>_xll.qlDayCounterYearFraction("actual/365 (fixed)",SettlementDate,E4,,,Trigger)</f>
        <v>0</v>
      </c>
      <c r="M4" s="278">
        <f t="shared" ref="M4:M22" si="1">I4-J4</f>
        <v>-5.3608834233711319E-5</v>
      </c>
      <c r="N4" s="281">
        <f>_xll.qlYieldTSDiscount(Discounting,E4,,AllTriggers)</f>
        <v>1.0000113889931339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42251</v>
      </c>
      <c r="F5" s="295">
        <f>_xll.qlInterestRateIndexMaturity(ON_6M_index,E5)</f>
        <v>42433</v>
      </c>
      <c r="G5" s="67">
        <f>_xll.qlQuoteValue(D5,AllTriggers)</f>
        <v>-2.5000000000000001E-4</v>
      </c>
      <c r="H5" s="67">
        <f>_xll.qlIndexFixing(ON_3M_index,_xll.qlInterestRateIndexFixingDate(ON_3M_index,E5),,AllTriggers)</f>
        <v>-1.2588630319405165E-3</v>
      </c>
      <c r="I5" s="280">
        <f t="shared" si="0"/>
        <v>1.0088630319405165E-3</v>
      </c>
      <c r="J5" s="67">
        <f>_xll.qlTenorBasisValue($R$18,E5,Trigger)</f>
        <v>1.0669831841551381E-3</v>
      </c>
      <c r="K5" s="240">
        <f t="shared" ref="K5:K22" si="4">M5*10000</f>
        <v>-0.58120152214621601</v>
      </c>
      <c r="L5" s="285">
        <f>_xll.qlDayCounterYearFraction("actual/365 (fixed)",SettlementDate,E5,,,Trigger)</f>
        <v>8.4931506849315067E-2</v>
      </c>
      <c r="M5" s="279">
        <f t="shared" si="1"/>
        <v>-5.8120152214621596E-5</v>
      </c>
      <c r="N5" s="183">
        <f>_xll.qlYieldTSDiscount(Discounting,E5,,AllTriggers)</f>
        <v>1.0001176173247566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42282</v>
      </c>
      <c r="F6" s="296">
        <f>_xll.qlInterestRateIndexMaturity(ON_6M_index,E6)</f>
        <v>42465</v>
      </c>
      <c r="G6" s="62">
        <f>_xll.qlQuoteValue(D6,AllTriggers)</f>
        <v>-2.4000000000000001E-4</v>
      </c>
      <c r="H6" s="62">
        <f>_xll.qlIndexFixing(ON_3M_index,_xll.qlInterestRateIndexFixingDate(ON_3M_index,E6),,AllTriggers)</f>
        <v>-1.2612348178785572E-3</v>
      </c>
      <c r="I6" s="265">
        <f t="shared" si="0"/>
        <v>1.0212348178785572E-3</v>
      </c>
      <c r="J6" s="62">
        <f>_xll.qlTenorBasisValue($R$18,E6,Trigger)</f>
        <v>1.0665475719995228E-3</v>
      </c>
      <c r="K6" s="188">
        <f t="shared" si="4"/>
        <v>-0.45312754120965587</v>
      </c>
      <c r="L6" s="206">
        <f>_xll.qlDayCounterYearFraction("actual/365 (fixed)",SettlementDate,E6,,,Trigger)</f>
        <v>0.16986301369863013</v>
      </c>
      <c r="M6" s="234">
        <f t="shared" si="1"/>
        <v>-4.5312754120965587E-5</v>
      </c>
      <c r="N6" s="184">
        <f>_xll.qlYieldTSDiscount(Discounting,E6,,AllTriggers)</f>
        <v>1.000225006246154</v>
      </c>
      <c r="O6" s="237" t="b">
        <v>0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obj_005d7#0001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42312</v>
      </c>
      <c r="F7" s="296">
        <f>_xll.qlInterestRateIndexMaturity(ON_6M_index,E7)</f>
        <v>42494</v>
      </c>
      <c r="G7" s="62">
        <f>_xll.qlQuoteValue(D7,AllTriggers)</f>
        <v>-2.3000000000000001E-4</v>
      </c>
      <c r="H7" s="62">
        <f>_xll.qlIndexFixing(ON_3M_index,_xll.qlInterestRateIndexFixingDate(ON_3M_index,E7),,AllTriggers)</f>
        <v>-1.2942381520336908E-3</v>
      </c>
      <c r="I7" s="265">
        <f t="shared" si="0"/>
        <v>1.0642381520336909E-3</v>
      </c>
      <c r="J7" s="62">
        <f>_xll.qlTenorBasisValue($R$18,E7,Trigger)</f>
        <v>1.0726172399178147E-3</v>
      </c>
      <c r="K7" s="188">
        <f t="shared" si="4"/>
        <v>-8.3790878841237884E-2</v>
      </c>
      <c r="L7" s="206">
        <f>_xll.qlDayCounterYearFraction("actual/365 (fixed)",SettlementDate,E7,,,Trigger)</f>
        <v>0.25205479452054796</v>
      </c>
      <c r="M7" s="234">
        <f t="shared" si="1"/>
        <v>-8.3790878841237884E-6</v>
      </c>
      <c r="N7" s="184">
        <f>_xll.qlYieldTSDiscount(Discounting,E7,,AllTriggers)</f>
        <v>1.0003312442150001</v>
      </c>
      <c r="O7" s="237" t="b">
        <v>0</v>
      </c>
      <c r="Q7" s="277" t="s">
        <v>127</v>
      </c>
      <c r="R7" s="282" t="b">
        <f>_xll.qlPolynomialCalibrationCompute($R$6,AllTriggers)</f>
        <v>1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42342</v>
      </c>
      <c r="F8" s="296">
        <f>_xll.qlInterestRateIndexMaturity(ON_6M_index,E8)</f>
        <v>42527</v>
      </c>
      <c r="G8" s="62">
        <f>_xll.qlQuoteValue(D8,AllTriggers)</f>
        <v>-2.3000000000000001E-4</v>
      </c>
      <c r="H8" s="62">
        <f>_xll.qlIndexFixing(ON_3M_index,_xll.qlInterestRateIndexFixingDate(ON_3M_index,E8),,AllTriggers)</f>
        <v>-1.341329589582515E-3</v>
      </c>
      <c r="I8" s="265">
        <f t="shared" si="0"/>
        <v>1.1113295895825151E-3</v>
      </c>
      <c r="J8" s="62">
        <f>_xll.qlTenorBasisValue($R$18,E8,Trigger)</f>
        <v>1.084547953637569E-3</v>
      </c>
      <c r="K8" s="188">
        <f t="shared" si="4"/>
        <v>0.26781635944946036</v>
      </c>
      <c r="L8" s="206">
        <f>_xll.qlDayCounterYearFraction("actual/365 (fixed)",SettlementDate,E8,,,Trigger)</f>
        <v>0.33424657534246577</v>
      </c>
      <c r="M8" s="234">
        <f t="shared" si="1"/>
        <v>2.6781635944946036E-5</v>
      </c>
      <c r="N8" s="184">
        <f>_xll.qlYieldTSDiscount(Discounting,E8,,AllTriggers)</f>
        <v>1.0004359686552162</v>
      </c>
      <c r="O8" s="237" t="b">
        <v>0</v>
      </c>
      <c r="Q8" s="277" t="s">
        <v>128</v>
      </c>
      <c r="R8" s="282" t="str">
        <f>_xll.qlPolynomialCalibrationEndCriteria(R6,)</f>
        <v>StationaryFunctionValue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42373</v>
      </c>
      <c r="F9" s="296">
        <f>_xll.qlInterestRateIndexMaturity(ON_6M_index,E9)</f>
        <v>42555</v>
      </c>
      <c r="G9" s="62">
        <f>_xll.qlQuoteValue(D9,AllTriggers)</f>
        <v>-2.3000000000000001E-4</v>
      </c>
      <c r="H9" s="62">
        <f>_xll.qlIndexFixing(ON_3M_index,_xll.qlInterestRateIndexFixingDate(ON_3M_index,E9),,AllTriggers)</f>
        <v>-1.3886244920906829E-3</v>
      </c>
      <c r="I9" s="265">
        <f t="shared" si="0"/>
        <v>1.1586244920906829E-3</v>
      </c>
      <c r="J9" s="62">
        <f>_xll.qlTenorBasisValue($R$18,E9,Trigger)</f>
        <v>1.1024834639329821E-3</v>
      </c>
      <c r="K9" s="188">
        <f t="shared" si="4"/>
        <v>0.56141028157700779</v>
      </c>
      <c r="L9" s="206">
        <f>_xll.qlDayCounterYearFraction("actual/365 (fixed)",SettlementDate,E9,,,Trigger)</f>
        <v>0.41917808219178082</v>
      </c>
      <c r="M9" s="234">
        <f t="shared" si="1"/>
        <v>5.6141028157700784E-5</v>
      </c>
      <c r="N9" s="184">
        <f>_xll.qlYieldTSDiscount(Discounting,E9,,AllTriggers)</f>
        <v>1.0005433394324059</v>
      </c>
      <c r="O9" s="237" t="b">
        <v>0</v>
      </c>
      <c r="Q9" s="277" t="s">
        <v>89</v>
      </c>
      <c r="R9" s="190">
        <f>_xll.qlPolynomialCalibrationError(R6,)</f>
        <v>4.4822723114327828E-5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42404</v>
      </c>
      <c r="F10" s="296">
        <f>_xll.qlInterestRateIndexMaturity(ON_6M_index,E10)</f>
        <v>42586</v>
      </c>
      <c r="G10" s="62">
        <f>_xll.qlQuoteValue(D10,AllTriggers)</f>
        <v>-2.0999999999999998E-4</v>
      </c>
      <c r="H10" s="62">
        <f>_xll.qlIndexFixing(ON_3M_index,_xll.qlInterestRateIndexFixingDate(ON_3M_index,E10),,AllTriggers)</f>
        <v>-1.3931503507862431E-3</v>
      </c>
      <c r="I10" s="265">
        <f t="shared" si="0"/>
        <v>1.1831503507862432E-3</v>
      </c>
      <c r="J10" s="62">
        <f>_xll.qlTenorBasisValue($R$18,E10,Trigger)</f>
        <v>1.1255525857401191E-3</v>
      </c>
      <c r="K10" s="188">
        <f t="shared" si="4"/>
        <v>0.5759776504612405</v>
      </c>
      <c r="L10" s="206">
        <f>_xll.qlDayCounterYearFraction("actual/365 (fixed)",SettlementDate,E10,,,Trigger)</f>
        <v>0.50410958904109593</v>
      </c>
      <c r="M10" s="234">
        <f t="shared" si="1"/>
        <v>5.7597765046124051E-5</v>
      </c>
      <c r="N10" s="184">
        <f>_xll.qlYieldTSDiscount(Discounting,E10,,AllTriggers)</f>
        <v>1.0006622129917457</v>
      </c>
      <c r="O10" s="237" t="b">
        <v>0</v>
      </c>
      <c r="Q10" s="277" t="s">
        <v>124</v>
      </c>
      <c r="R10" s="190">
        <f>_xll.qlPolynomialCalibrationMaxError(R6,)</f>
        <v>2.5690448646173707E-4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Q5</v>
      </c>
      <c r="D11" s="248" t="str">
        <f t="shared" ref="D11:D22" si="6">Currency&amp;"FUT"&amp;"3M"&amp;C11&amp;QuoteSuffix</f>
        <v>EURFUT3MQ5_Quote</v>
      </c>
      <c r="E11" s="295">
        <f>_xll.qlIMMdate(C11,SettlementDate,Trigger)</f>
        <v>42235</v>
      </c>
      <c r="F11" s="295">
        <f>_xll.qlInterestRateIndexMaturity(ON_6M_index,E11)</f>
        <v>42419</v>
      </c>
      <c r="G11" s="67">
        <f>1-_xll.qlQuoteValue(D11,AllTriggers)/100-_xll.qlQuoteValue(Currency&amp;"FUT"&amp;"3M"&amp;C11&amp;"ConvAdj_Quote")</f>
        <v>-2.2500000000014175E-4</v>
      </c>
      <c r="H11" s="67">
        <f>_xll.qlIndexFixing(ON_3M_index,_xll.qlInterestRateIndexFixingDate(ON_3M_index,E11),,AllTriggers)</f>
        <v>-1.3209177569746364E-3</v>
      </c>
      <c r="I11" s="280">
        <f t="shared" si="0"/>
        <v>1.0959177569744947E-3</v>
      </c>
      <c r="J11" s="67">
        <f>_xll.qlTenorBasisValue($R$18,E11,Trigger)</f>
        <v>1.0700606043174126E-3</v>
      </c>
      <c r="K11" s="240">
        <f t="shared" si="4"/>
        <v>0.25857152657082078</v>
      </c>
      <c r="L11" s="285">
        <f>_xll.qlDayCounterYearFraction("actual/365 (fixed)",SettlementDate,E11,,,Trigger)</f>
        <v>4.1095890410958902E-2</v>
      </c>
      <c r="M11" s="279">
        <f t="shared" si="1"/>
        <v>2.5857152657082078E-5</v>
      </c>
      <c r="N11" s="183">
        <f>_xll.qlYieldTSDiscount(Discounting,E11,,AllTriggers)</f>
        <v>1.0000618088099358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U5</v>
      </c>
      <c r="D12" s="249" t="str">
        <f t="shared" si="6"/>
        <v>EURFUT3MU5_Quote</v>
      </c>
      <c r="E12" s="296">
        <f>_xll.qlIMMdate(C12,SettlementDate,Trigger)</f>
        <v>42263</v>
      </c>
      <c r="F12" s="296">
        <f>_xll.qlInterestRateIndexMaturity(ON_6M_index,E12)</f>
        <v>42445</v>
      </c>
      <c r="G12" s="62">
        <f>1-_xll.qlQuoteValue(D12,AllTriggers)/100-_xll.qlQuoteValue(Currency&amp;"FUT"&amp;"3M"&amp;C12&amp;"ConvAdj_Quote")</f>
        <v>-2.7500000000002522E-4</v>
      </c>
      <c r="H12" s="62">
        <f>_xll.qlIndexFixing(ON_3M_index,_xll.qlInterestRateIndexFixingDate(ON_3M_index,E12),,AllTriggers)</f>
        <v>-1.2947751933249515E-3</v>
      </c>
      <c r="I12" s="265">
        <f t="shared" si="0"/>
        <v>1.0197751933249263E-3</v>
      </c>
      <c r="J12" s="62">
        <f>_xll.qlTenorBasisValue($R$18,E12,Trigger)</f>
        <v>1.065970093214838E-3</v>
      </c>
      <c r="K12" s="188">
        <f t="shared" si="4"/>
        <v>-0.46194899889911772</v>
      </c>
      <c r="L12" s="206">
        <f>_xll.qlDayCounterYearFraction("actual/365 (fixed)",SettlementDate,E12,,,Trigger)</f>
        <v>0.11780821917808219</v>
      </c>
      <c r="M12" s="234">
        <f t="shared" si="1"/>
        <v>-4.6194899889911772E-5</v>
      </c>
      <c r="N12" s="184">
        <f>_xll.qlYieldTSDiscount(Discounting,E12,,AllTriggers)</f>
        <v>1.0001603860556116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Z5</v>
      </c>
      <c r="D13" s="249" t="str">
        <f t="shared" si="6"/>
        <v>EURFUT3MZ5_Quote</v>
      </c>
      <c r="E13" s="296">
        <f>_xll.qlIMMdate(C13,SettlementDate,Trigger)</f>
        <v>42354</v>
      </c>
      <c r="F13" s="296">
        <f>_xll.qlInterestRateIndexMaturity(ON_6M_index,E13)</f>
        <v>42537</v>
      </c>
      <c r="G13" s="62">
        <f>1-_xll.qlQuoteValue(D13,AllTriggers)/100-_xll.qlQuoteValue(Currency&amp;"FUT"&amp;"3M"&amp;C13&amp;"ConvAdj_Quote")</f>
        <v>-2.2500000000014175E-4</v>
      </c>
      <c r="H13" s="62">
        <f>_xll.qlIndexFixing(ON_3M_index,_xll.qlInterestRateIndexFixingDate(ON_3M_index,E13),,AllTriggers)</f>
        <v>-1.3338137385939114E-3</v>
      </c>
      <c r="I13" s="265">
        <f t="shared" si="0"/>
        <v>1.1088137385937696E-3</v>
      </c>
      <c r="J13" s="62">
        <f>_xll.qlTenorBasisValue($R$18,E13,Trigger)</f>
        <v>1.0908452970395362E-3</v>
      </c>
      <c r="K13" s="188">
        <f t="shared" si="4"/>
        <v>0.17968441554233433</v>
      </c>
      <c r="L13" s="206">
        <f>_xll.qlDayCounterYearFraction("actual/365 (fixed)",SettlementDate,E13,,,Trigger)</f>
        <v>0.36712328767123287</v>
      </c>
      <c r="M13" s="234">
        <f t="shared" si="1"/>
        <v>1.7968441554233432E-5</v>
      </c>
      <c r="N13" s="184">
        <f>_xll.qlYieldTSDiscount(Discounting,E13,,AllTriggers)</f>
        <v>1.0004878361157776</v>
      </c>
      <c r="O13" s="237" t="b">
        <v>1</v>
      </c>
      <c r="Q13" s="277" t="s">
        <v>113</v>
      </c>
      <c r="R13" s="190">
        <f t="array" ref="R13:R17">_xll.qlPolynomialCalibrationCoefficients($R$6,R7)</f>
        <v>1.0748017737217085E-3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H6</v>
      </c>
      <c r="D14" s="249" t="str">
        <f t="shared" si="6"/>
        <v>EURFUT3MH6_Quote</v>
      </c>
      <c r="E14" s="296">
        <f>_xll.qlIMMdate(C14,SettlementDate,Trigger)</f>
        <v>42445</v>
      </c>
      <c r="F14" s="296">
        <f>_xll.qlInterestRateIndexMaturity(ON_6M_index,E14)</f>
        <v>42629</v>
      </c>
      <c r="G14" s="62">
        <f>1-_xll.qlQuoteValue(D14,AllTriggers)/100-_xll.qlQuoteValue(Currency&amp;"FUT"&amp;"3M"&amp;C14&amp;"ConvAdj_Quote")</f>
        <v>-1.7500000000003624E-4</v>
      </c>
      <c r="H14" s="62">
        <f>_xll.qlIndexFixing(ON_3M_index,_xll.qlInterestRateIndexFixingDate(ON_3M_index,E14),,AllTriggers)</f>
        <v>-1.3853681831853682E-3</v>
      </c>
      <c r="I14" s="265">
        <f t="shared" si="0"/>
        <v>1.210368183185332E-3</v>
      </c>
      <c r="J14" s="62">
        <f>_xll.qlTenorBasisValue($R$18,E14,Trigger)</f>
        <v>1.1629758213680334E-3</v>
      </c>
      <c r="K14" s="188">
        <f t="shared" si="4"/>
        <v>0.47392361817298612</v>
      </c>
      <c r="L14" s="206">
        <f>_xll.qlDayCounterYearFraction("actual/365 (fixed)",SettlementDate,E14,,,Trigger)</f>
        <v>0.61643835616438358</v>
      </c>
      <c r="M14" s="234">
        <f t="shared" si="1"/>
        <v>4.7392361817298612E-5</v>
      </c>
      <c r="N14" s="184">
        <f>_xll.qlYieldTSDiscount(Discounting,E14,,AllTriggers)</f>
        <v>1.0008252728363181</v>
      </c>
      <c r="O14" s="237" t="b">
        <v>1</v>
      </c>
      <c r="Q14" s="277" t="s">
        <v>114</v>
      </c>
      <c r="R14" s="190">
        <v>-1.3776510942293987E-4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M6</v>
      </c>
      <c r="D15" s="249" t="str">
        <f t="shared" si="6"/>
        <v>EURFUT3MM6_Quote</v>
      </c>
      <c r="E15" s="296">
        <f>_xll.qlIMMdate(C15,SettlementDate,Trigger)</f>
        <v>42536</v>
      </c>
      <c r="F15" s="296">
        <f>_xll.qlInterestRateIndexMaturity(ON_6M_index,E15)</f>
        <v>42719</v>
      </c>
      <c r="G15" s="62">
        <f>1-_xll.qlQuoteValue(D15,AllTriggers)/100-_xll.qlQuoteValue(Currency&amp;"FUT"&amp;"3M"&amp;C15&amp;"ConvAdj_Quote")</f>
        <v>-1.2499999999993072E-4</v>
      </c>
      <c r="H15" s="62">
        <f>_xll.qlIndexFixing(ON_3M_index,_xll.qlInterestRateIndexFixingDate(ON_3M_index,E15),,AllTriggers)</f>
        <v>-1.3172776905824158E-3</v>
      </c>
      <c r="I15" s="265">
        <f t="shared" si="0"/>
        <v>1.1922776905824851E-3</v>
      </c>
      <c r="J15" s="62">
        <f>_xll.qlTenorBasisValue($R$18,E15,Trigger)</f>
        <v>1.2679039043909986E-3</v>
      </c>
      <c r="K15" s="188">
        <f t="shared" si="4"/>
        <v>-0.75626213808513509</v>
      </c>
      <c r="L15" s="206">
        <f>_xll.qlDayCounterYearFraction("actual/365 (fixed)",SettlementDate,E15,,,Trigger)</f>
        <v>0.86575342465753424</v>
      </c>
      <c r="M15" s="234">
        <f t="shared" si="1"/>
        <v>-7.5626213808513507E-5</v>
      </c>
      <c r="N15" s="184">
        <f>_xll.qlYieldTSDiscount(Discounting,E15,,AllTriggers)</f>
        <v>1.0011758852254382</v>
      </c>
      <c r="O15" s="237" t="b">
        <v>1</v>
      </c>
      <c r="Q15" s="277" t="s">
        <v>115</v>
      </c>
      <c r="R15" s="190">
        <v>5.5137527136079668E-4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U6</v>
      </c>
      <c r="D16" s="249" t="str">
        <f t="shared" si="6"/>
        <v>EURFUT3MU6_Quote</v>
      </c>
      <c r="E16" s="296">
        <f>_xll.qlIMMdate(C16,SettlementDate,Trigger)</f>
        <v>42634</v>
      </c>
      <c r="F16" s="296">
        <f>_xll.qlInterestRateIndexMaturity(ON_6M_index,E16)</f>
        <v>42815</v>
      </c>
      <c r="G16" s="62">
        <f>1-_xll.qlQuoteValue(D16,AllTriggers)/100-_xll.qlQuoteValue(Currency&amp;"FUT"&amp;"3M"&amp;C16&amp;"ConvAdj_Quote")</f>
        <v>7.4999999999936229E-5</v>
      </c>
      <c r="H16" s="62">
        <f>_xll.qlIndexFixing(ON_3M_index,_xll.qlInterestRateIndexFixingDate(ON_3M_index,E16),,AllTriggers)</f>
        <v>-1.3570506723293353E-3</v>
      </c>
      <c r="I16" s="265">
        <f t="shared" si="0"/>
        <v>1.4320506723292715E-3</v>
      </c>
      <c r="J16" s="62">
        <f>_xll.qlTenorBasisValue($R$18,E16,Trigger)</f>
        <v>1.4009989823997046E-3</v>
      </c>
      <c r="K16" s="188">
        <f t="shared" si="4"/>
        <v>0.31051689929566856</v>
      </c>
      <c r="L16" s="206">
        <f>_xll.qlDayCounterYearFraction("actual/365 (fixed)",SettlementDate,E16,,,Trigger)</f>
        <v>1.1342465753424658</v>
      </c>
      <c r="M16" s="234">
        <f t="shared" si="1"/>
        <v>3.1051689929566858E-5</v>
      </c>
      <c r="N16" s="184">
        <f>_xll.qlYieldTSDiscount(Discounting,E16,,AllTriggers)</f>
        <v>1.0015347230996803</v>
      </c>
      <c r="O16" s="237" t="b">
        <v>1</v>
      </c>
      <c r="Q16" s="277" t="s">
        <v>116</v>
      </c>
      <c r="R16" s="190">
        <v>-1.5549063298229089E-4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Z6</v>
      </c>
      <c r="D17" s="249" t="str">
        <f t="shared" si="6"/>
        <v>EURFUT3MZ6_Quote</v>
      </c>
      <c r="E17" s="296">
        <f>_xll.qlIMMdate(C17,SettlementDate,Trigger)</f>
        <v>42725</v>
      </c>
      <c r="F17" s="296">
        <f>_xll.qlInterestRateIndexMaturity(ON_6M_index,E17)</f>
        <v>42907</v>
      </c>
      <c r="G17" s="62">
        <f>1-_xll.qlQuoteValue(D17,AllTriggers)/100-_xll.qlQuoteValue(Currency&amp;"FUT"&amp;"3M"&amp;C17&amp;"ConvAdj_Quote")</f>
        <v>3.2500000000001972E-4</v>
      </c>
      <c r="H17" s="62">
        <f>_xll.qlIndexFixing(ON_3M_index,_xll.qlInterestRateIndexFixingDate(ON_3M_index,E17),,AllTriggers)</f>
        <v>-1.0284758945213746E-3</v>
      </c>
      <c r="I17" s="265">
        <f t="shared" si="0"/>
        <v>1.3534758945213943E-3</v>
      </c>
      <c r="J17" s="62">
        <f>_xll.qlTenorBasisValue($R$18,E17,Trigger)</f>
        <v>1.5278486732612446E-3</v>
      </c>
      <c r="K17" s="188">
        <f t="shared" si="4"/>
        <v>-1.7437277873985029</v>
      </c>
      <c r="L17" s="206">
        <f>_xll.qlDayCounterYearFraction("actual/365 (fixed)",SettlementDate,E17,,,Trigger)</f>
        <v>1.3835616438356164</v>
      </c>
      <c r="M17" s="234">
        <f t="shared" si="1"/>
        <v>-1.7437277873985028E-4</v>
      </c>
      <c r="N17" s="184">
        <f>_xll.qlYieldTSDiscount(Discounting,E17,,AllTriggers)</f>
        <v>1.0018783997046468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H7</v>
      </c>
      <c r="D18" s="249" t="str">
        <f t="shared" si="6"/>
        <v>EURFUT3MH7_Quote</v>
      </c>
      <c r="E18" s="296">
        <f>_xll.qlIMMdate(C18,SettlementDate,Trigger)</f>
        <v>42809</v>
      </c>
      <c r="F18" s="296">
        <f>_xll.qlInterestRateIndexMaturity(ON_6M_index,E18)</f>
        <v>42993</v>
      </c>
      <c r="G18" s="62">
        <f>1-_xll.qlQuoteValue(D18,AllTriggers)/100-_xll.qlQuoteValue(Currency&amp;"FUT"&amp;"3M"&amp;C18&amp;"ConvAdj_Quote")</f>
        <v>6.7499999999998117E-4</v>
      </c>
      <c r="H18" s="62">
        <f>_xll.qlIndexFixing(ON_3M_index,_xll.qlInterestRateIndexFixingDate(ON_3M_index,E18),,AllTriggers)</f>
        <v>-7.7890631892645241E-4</v>
      </c>
      <c r="I18" s="265">
        <f t="shared" si="0"/>
        <v>1.4539063189264335E-3</v>
      </c>
      <c r="J18" s="62">
        <f>_xll.qlTenorBasisValue($R$18,E18,Trigger)</f>
        <v>1.6348958875333853E-3</v>
      </c>
      <c r="K18" s="188">
        <f t="shared" si="4"/>
        <v>-1.8098956860695177</v>
      </c>
      <c r="L18" s="206">
        <f>_xll.qlDayCounterYearFraction("actual/365 (fixed)",SettlementDate,E18,,,Trigger)</f>
        <v>1.6136986301369862</v>
      </c>
      <c r="M18" s="234">
        <f t="shared" si="1"/>
        <v>-1.8098956860695178E-4</v>
      </c>
      <c r="N18" s="184">
        <f>_xll.qlYieldTSDiscount(Discounting,E18,,AllTriggers)</f>
        <v>1.0021204297274615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obj_005dc#0001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M7</v>
      </c>
      <c r="D19" s="249" t="str">
        <f t="shared" si="6"/>
        <v>EURFUT3MM7_Quote</v>
      </c>
      <c r="E19" s="296">
        <f>_xll.qlIMMdate(C19,SettlementDate,Trigger)</f>
        <v>42907</v>
      </c>
      <c r="F19" s="296">
        <f>_xll.qlInterestRateIndexMaturity(ON_6M_index,E19)</f>
        <v>43090</v>
      </c>
      <c r="G19" s="62">
        <f>1-_xll.qlQuoteValue(D19,AllTriggers)/100-_xll.qlQuoteValue(Currency&amp;"FUT"&amp;"3M"&amp;C19&amp;"ConvAdj_Quote")</f>
        <v>1.0750000000000481E-3</v>
      </c>
      <c r="H19" s="62">
        <f>_xll.qlIndexFixing(ON_3M_index,_xll.qlInterestRateIndexFixingDate(ON_3M_index,E19),,AllTriggers)</f>
        <v>-4.3937091721858306E-4</v>
      </c>
      <c r="I19" s="265">
        <f t="shared" si="0"/>
        <v>1.5143709172186313E-3</v>
      </c>
      <c r="J19" s="62">
        <f>_xll.qlTenorBasisValue($R$18,E19,Trigger)</f>
        <v>1.732026706403029E-3</v>
      </c>
      <c r="K19" s="188">
        <f t="shared" si="4"/>
        <v>-2.1765578918439772</v>
      </c>
      <c r="L19" s="206">
        <f>_xll.qlDayCounterYearFraction("actual/365 (fixed)",SettlementDate,E19,,,Trigger)</f>
        <v>1.8821917808219177</v>
      </c>
      <c r="M19" s="234">
        <f t="shared" si="1"/>
        <v>-2.1765578918439771E-4</v>
      </c>
      <c r="N19" s="184">
        <f>_xll.qlYieldTSDiscount(Discounting,E19,,AllTriggers)</f>
        <v>1.0023303648025959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U7</v>
      </c>
      <c r="D20" s="249" t="str">
        <f t="shared" si="6"/>
        <v>EURFUT3MU7_Quote</v>
      </c>
      <c r="E20" s="296">
        <f>_xll.qlIMMdate(C20,SettlementDate,Trigger)</f>
        <v>42998</v>
      </c>
      <c r="F20" s="296">
        <f>_xll.qlInterestRateIndexMaturity(ON_6M_index,E20)</f>
        <v>43179</v>
      </c>
      <c r="G20" s="62">
        <f>1-_xll.qlQuoteValue(D20,AllTriggers)/100-_xll.qlQuoteValue(Currency&amp;"FUT"&amp;"3M"&amp;C20&amp;"ConvAdj_Quote")</f>
        <v>1.5249999999999986E-3</v>
      </c>
      <c r="H20" s="62">
        <f>_xll.qlIndexFixing(ON_3M_index,_xll.qlInterestRateIndexFixingDate(ON_3M_index,E20),,AllTriggers)</f>
        <v>-3.6224622721678704E-5</v>
      </c>
      <c r="I20" s="265">
        <f t="shared" si="0"/>
        <v>1.5612246227216773E-3</v>
      </c>
      <c r="J20" s="62">
        <f>_xll.qlTenorBasisValue($R$18,E20,Trigger)</f>
        <v>1.7804395250646105E-3</v>
      </c>
      <c r="K20" s="188">
        <f t="shared" si="4"/>
        <v>-2.1921490234293315</v>
      </c>
      <c r="L20" s="206">
        <f>_xll.qlDayCounterYearFraction("actual/365 (fixed)",SettlementDate,E20,,,Trigger)</f>
        <v>2.1315068493150684</v>
      </c>
      <c r="M20" s="234">
        <f t="shared" si="1"/>
        <v>-2.1921490234293314E-4</v>
      </c>
      <c r="N20" s="184">
        <f>_xll.qlYieldTSDiscount(Discounting,E20,,AllTriggers)</f>
        <v>1.0024422245980396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Z7</v>
      </c>
      <c r="D21" s="249" t="str">
        <f t="shared" si="6"/>
        <v>EURFUT3MZ7_Quote</v>
      </c>
      <c r="E21" s="296">
        <f>_xll.qlIMMdate(C21,SettlementDate,Trigger)</f>
        <v>43089</v>
      </c>
      <c r="F21" s="296">
        <f>_xll.qlInterestRateIndexMaturity(ON_6M_index,E21)</f>
        <v>43271</v>
      </c>
      <c r="G21" s="62">
        <f>1-_xll.qlQuoteValue(D21,AllTriggers)/100-_xll.qlQuoteValue(Currency&amp;"FUT"&amp;"3M"&amp;C21&amp;"ConvAdj_Quote")</f>
        <v>2.074999999999938E-3</v>
      </c>
      <c r="H21" s="62">
        <f>_xll.qlIndexFixing(ON_3M_index,_xll.qlInterestRateIndexFixingDate(ON_3M_index,E21),,AllTriggers)</f>
        <v>4.4958108931414387E-4</v>
      </c>
      <c r="I21" s="265">
        <f t="shared" si="0"/>
        <v>1.6254189106857941E-3</v>
      </c>
      <c r="J21" s="62">
        <f>_xll.qlTenorBasisValue($R$18,E21,Trigger)</f>
        <v>1.7737911960408761E-3</v>
      </c>
      <c r="K21" s="188">
        <f t="shared" si="4"/>
        <v>-1.4837228535508193</v>
      </c>
      <c r="L21" s="206">
        <f>_xll.qlDayCounterYearFraction("actual/365 (fixed)",SettlementDate,E21,,,Trigger)</f>
        <v>2.3808219178082193</v>
      </c>
      <c r="M21" s="234">
        <f t="shared" si="1"/>
        <v>-1.4837228535508193E-4</v>
      </c>
      <c r="N21" s="184">
        <f>_xll.qlYieldTSDiscount(Discounting,E21,,AllTriggers)</f>
        <v>1.0024514038246366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H8</v>
      </c>
      <c r="D22" s="250" t="str">
        <f t="shared" si="6"/>
        <v>EURFUT3MH8_Quote</v>
      </c>
      <c r="E22" s="297">
        <f>_xll.qlIMMdate(C22,SettlementDate,Trigger)</f>
        <v>43180</v>
      </c>
      <c r="F22" s="297">
        <f>_xll.qlInterestRateIndexMaturity(ON_6M_index,E22)</f>
        <v>43364</v>
      </c>
      <c r="G22" s="65">
        <f>1-_xll.qlQuoteValue(D22,AllTriggers)/100-_xll.qlQuoteValue(Currency&amp;"FUT"&amp;"3M"&amp;C22&amp;"ConvAdj_Quote")</f>
        <v>2.7250000000000885E-3</v>
      </c>
      <c r="H22" s="65">
        <f>_xll.qlIndexFixing(ON_3M_index,_xll.qlInterestRateIndexFixingDate(ON_3M_index,E22),,AllTriggers)</f>
        <v>1.0278243216958448E-3</v>
      </c>
      <c r="I22" s="260">
        <f t="shared" si="0"/>
        <v>1.6971756783042437E-3</v>
      </c>
      <c r="J22" s="65">
        <f>_xll.qlTenorBasisValue($R$18,E22,Trigger)</f>
        <v>1.6976239575224946E-3</v>
      </c>
      <c r="K22" s="189">
        <f t="shared" si="4"/>
        <v>-4.4827921825084903E-3</v>
      </c>
      <c r="L22" s="207">
        <f>_xll.qlDayCounterYearFraction("actual/365 (fixed)",SettlementDate,E22,,,Trigger)</f>
        <v>2.6301369863013697</v>
      </c>
      <c r="M22" s="235">
        <f t="shared" si="1"/>
        <v>-4.4827921825084903E-7</v>
      </c>
      <c r="N22" s="185">
        <f>_xll.qlYieldTSDiscount(Discounting,E22,,AllTriggers)</f>
        <v>1.0023367370265523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42220</v>
      </c>
      <c r="H25" s="269">
        <f>_xll.qlCalendarAdvance(Calendar,SettlementDate,F25,"Following",,Trigger)</f>
        <v>42221</v>
      </c>
      <c r="I25" s="287">
        <f>_xll.qlTenorBasisForwardRate2(TenorBasis3M,G25,H25,AllTriggers)</f>
        <v>-1.1703583778110982E-4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42220</v>
      </c>
      <c r="H26" s="271">
        <f>_xll.qlCalendarAdvance(Calendar,SettlementDate,F26,"Following",,Trigger)</f>
        <v>42227</v>
      </c>
      <c r="I26" s="288">
        <f>_xll.qlTenorBasisForwardRate2(TenorBasis3M,G26,H26,AllTriggers)</f>
        <v>-1.1926385656771795E-4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42220</v>
      </c>
      <c r="H27" s="271">
        <f>_xll.qlCalendarAdvance(Calendar,SettlementDate,F27,"Following",,Trigger)</f>
        <v>42234</v>
      </c>
      <c r="I27" s="288">
        <f>_xll.qlTenorBasisForwardRate2(TenorBasis3M,G27,H27,AllTriggers)</f>
        <v>-1.3174198394765618E-4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42220</v>
      </c>
      <c r="H28" s="271">
        <f>_xll.qlCalendarAdvance(Calendar,SettlementDate,F28,"Following",,Trigger)</f>
        <v>42241</v>
      </c>
      <c r="I28" s="288">
        <f>_xll.qlTenorBasisForwardRate2(TenorBasis3M,G28,H28,AllTriggers)</f>
        <v>-1.3407538457370954E-4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42220</v>
      </c>
      <c r="H29" s="273">
        <f>_xll.qlCalendarAdvance(Calendar,SettlementDate,F29,"mf",TRUE,Trigger)</f>
        <v>42251</v>
      </c>
      <c r="I29" s="289">
        <f>_xll.qlTenorBasisForwardRate2(TenorBasis3M,G29,H29,AllTriggers)</f>
        <v>-1.6063775199703565E-4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42220</v>
      </c>
      <c r="H30" s="271">
        <f>_xll.qlCalendarAdvance(Calendar,SettlementDate,F30,"mf",TRUE,Trigger)</f>
        <v>42282</v>
      </c>
      <c r="I30" s="288">
        <f>_xll.qlTenorBasisForwardRate2(TenorBasis3M,G30,H30,AllTriggers)</f>
        <v>-1.7501026504576723E-4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42220</v>
      </c>
      <c r="H31" s="275">
        <f>_xll.qlCalendarAdvance(Calendar,SettlementDate,F31,"mf",TRUE,Trigger)</f>
        <v>42312</v>
      </c>
      <c r="I31" s="291">
        <f>_xll.qlTenorBasisForwardRate2(TenorBasis3M,G31,H31,AllTriggers)</f>
        <v>-1.9115103165497386E-4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S17" sqref="S17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42220</v>
      </c>
      <c r="F3" s="294">
        <f>_xll.qlInterestRateIndexMaturity(PROPER(Currency)&amp;"ibor"&amp;$F$1,E3)</f>
        <v>42404</v>
      </c>
      <c r="G3" s="258">
        <f>J3+$H$4</f>
        <v>4.4276370713728372E-4</v>
      </c>
      <c r="H3" s="239"/>
      <c r="I3" s="239"/>
      <c r="J3" s="190">
        <f>_xll.qlTenorBasisValue($R$18,E3,Trigger)</f>
        <v>1.7152723370223899E-3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obj_0058c#0001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42220</v>
      </c>
      <c r="F4" s="294">
        <f>_xll.qlInterestRateIndexMaturity(ON_6M_index,E4)</f>
        <v>42404</v>
      </c>
      <c r="G4" s="190">
        <f>_xll.qlQuoteValue(D4,LastFixingsTrigger)</f>
        <v>4.8000000000000001E-4</v>
      </c>
      <c r="H4" s="190">
        <f>_xll.qlIndexFixing(ON_6M_index,_xll.qlInterestRateIndexFixingDate(ON_6M_index,E4),,AllTriggers)</f>
        <v>-1.2725086298851062E-3</v>
      </c>
      <c r="I4" s="258">
        <f t="shared" ref="I4:I22" si="0">G4-H4</f>
        <v>1.7525086298851062E-3</v>
      </c>
      <c r="J4" s="186">
        <f>_xll.qlTenorBasisValue($R$18,E4,Trigger)</f>
        <v>1.7152723370223899E-3</v>
      </c>
      <c r="K4" s="187">
        <f>M4*10000</f>
        <v>0.37236292862716236</v>
      </c>
      <c r="L4" s="284">
        <f>_xll.qlDayCounterYearFraction("actual/365 (fixed)",SettlementDate,E4,,,Trigger)</f>
        <v>0</v>
      </c>
      <c r="M4" s="278">
        <f t="shared" ref="M4:M22" si="1">I4-J4</f>
        <v>3.7236292862716236E-5</v>
      </c>
      <c r="N4" s="281">
        <f>_xll.qlYieldTSDiscount(Discounting,E4,,AllTriggers)</f>
        <v>1.0000113889931339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42251</v>
      </c>
      <c r="F5" s="295">
        <f>_xll.qlInterestRateIndexMaturity(ON_6M_index,E5)</f>
        <v>42433</v>
      </c>
      <c r="G5" s="67">
        <f>_xll.qlQuoteValue(D5,AllTriggers)</f>
        <v>4.4000000000000007E-4</v>
      </c>
      <c r="H5" s="67">
        <f>_xll.qlIndexFixing(ON_6M_index,_xll.qlInterestRateIndexFixingDate(ON_6M_index,E5),,AllTriggers)</f>
        <v>-1.2998828967734956E-3</v>
      </c>
      <c r="I5" s="280">
        <f t="shared" si="0"/>
        <v>1.7398828967734956E-3</v>
      </c>
      <c r="J5" s="67">
        <f>_xll.qlTenorBasisValue($R$18,E5,Trigger)</f>
        <v>1.7500072636053314E-3</v>
      </c>
      <c r="K5" s="240">
        <f t="shared" ref="K5:K22" si="4">M5*10000</f>
        <v>-0.10124366831835768</v>
      </c>
      <c r="L5" s="285">
        <f>_xll.qlDayCounterYearFraction("actual/365 (fixed)",SettlementDate,E5,,,Trigger)</f>
        <v>8.4931506849315067E-2</v>
      </c>
      <c r="M5" s="279">
        <f t="shared" si="1"/>
        <v>-1.0124366831835768E-5</v>
      </c>
      <c r="N5" s="183">
        <f>_xll.qlYieldTSDiscount(Discounting,E5,,AllTriggers)</f>
        <v>1.0001176173247566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42282</v>
      </c>
      <c r="F6" s="296">
        <f>_xll.qlInterestRateIndexMaturity(ON_6M_index,E6)</f>
        <v>42465</v>
      </c>
      <c r="G6" s="62">
        <f>_xll.qlQuoteValue(D6,AllTriggers)</f>
        <v>4.6000000000000001E-4</v>
      </c>
      <c r="H6" s="62">
        <f>_xll.qlIndexFixing(ON_6M_index,_xll.qlInterestRateIndexFixingDate(ON_6M_index,E6),,AllTriggers)</f>
        <v>-1.3240237386903915E-3</v>
      </c>
      <c r="I6" s="265">
        <f t="shared" si="0"/>
        <v>1.7840237386903914E-3</v>
      </c>
      <c r="J6" s="62">
        <f>_xll.qlTenorBasisValue($R$18,E6,Trigger)</f>
        <v>1.7874494699467033E-3</v>
      </c>
      <c r="K6" s="188">
        <f t="shared" si="4"/>
        <v>-3.4257312563118397E-2</v>
      </c>
      <c r="L6" s="206">
        <f>_xll.qlDayCounterYearFraction("actual/365 (fixed)",SettlementDate,E6,,,Trigger)</f>
        <v>0.16986301369863013</v>
      </c>
      <c r="M6" s="234">
        <f t="shared" si="1"/>
        <v>-3.4257312563118394E-6</v>
      </c>
      <c r="N6" s="184">
        <f>_xll.qlYieldTSDiscount(Discounting,E6,,AllTriggers)</f>
        <v>1.000225006246154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obj_005d8#0001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42312</v>
      </c>
      <c r="F7" s="296">
        <f>_xll.qlInterestRateIndexMaturity(ON_6M_index,E7)</f>
        <v>42494</v>
      </c>
      <c r="G7" s="62">
        <f>_xll.qlQuoteValue(D7,AllTriggers)</f>
        <v>4.8999999999999998E-4</v>
      </c>
      <c r="H7" s="62">
        <f>_xll.qlIndexFixing(ON_6M_index,_xll.qlInterestRateIndexFixingDate(ON_6M_index,E7),,AllTriggers)</f>
        <v>-1.3429229175063997E-3</v>
      </c>
      <c r="I7" s="265">
        <f t="shared" si="0"/>
        <v>1.8329229175063997E-3</v>
      </c>
      <c r="J7" s="62">
        <f>_xll.qlTenorBasisValue($R$18,E7,Trigger)</f>
        <v>1.8258422714941774E-3</v>
      </c>
      <c r="K7" s="188">
        <f t="shared" si="4"/>
        <v>7.0806460122222525E-2</v>
      </c>
      <c r="L7" s="206">
        <f>_xll.qlDayCounterYearFraction("actual/365 (fixed)",SettlementDate,E7,,,Trigger)</f>
        <v>0.25205479452054796</v>
      </c>
      <c r="M7" s="234">
        <f t="shared" si="1"/>
        <v>7.0806460122222522E-6</v>
      </c>
      <c r="N7" s="184">
        <f>_xll.qlYieldTSDiscount(Discounting,E7,,AllTriggers)</f>
        <v>1.0003312442150001</v>
      </c>
      <c r="O7" s="237" t="b">
        <v>1</v>
      </c>
      <c r="Q7" s="277" t="s">
        <v>127</v>
      </c>
      <c r="R7" s="282" t="b">
        <f>_xll.qlPolynomialCalibrationCompute($R$6,AllTriggers)</f>
        <v>1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42342</v>
      </c>
      <c r="F8" s="296">
        <f>_xll.qlInterestRateIndexMaturity(ON_6M_index,E8)</f>
        <v>42527</v>
      </c>
      <c r="G8" s="62">
        <f>_xll.qlQuoteValue(D8,AllTriggers)</f>
        <v>5.1000000000000004E-4</v>
      </c>
      <c r="H8" s="62">
        <f>_xll.qlIndexFixing(ON_6M_index,_xll.qlInterestRateIndexFixingDate(ON_6M_index,E8),,AllTriggers)</f>
        <v>-1.3700661125167679E-3</v>
      </c>
      <c r="I8" s="265">
        <f t="shared" si="0"/>
        <v>1.8800661125167679E-3</v>
      </c>
      <c r="J8" s="62">
        <f>_xll.qlTenorBasisValue($R$18,E8,Trigger)</f>
        <v>1.8659501711948549E-3</v>
      </c>
      <c r="K8" s="188">
        <f t="shared" si="4"/>
        <v>0.14115941321913086</v>
      </c>
      <c r="L8" s="206">
        <f>_xll.qlDayCounterYearFraction("actual/365 (fixed)",SettlementDate,E8,,,Trigger)</f>
        <v>0.33424657534246577</v>
      </c>
      <c r="M8" s="234">
        <f t="shared" si="1"/>
        <v>1.4115941321913086E-5</v>
      </c>
      <c r="N8" s="184">
        <f>_xll.qlYieldTSDiscount(Discounting,E8,,AllTriggers)</f>
        <v>1.0004359686552162</v>
      </c>
      <c r="O8" s="237" t="b">
        <v>1</v>
      </c>
      <c r="Q8" s="277" t="s">
        <v>128</v>
      </c>
      <c r="R8" s="282" t="str">
        <f>_xll.qlPolynomialCalibrationEndCriteria(R6,)</f>
        <v>None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42373</v>
      </c>
      <c r="F9" s="296">
        <f>_xll.qlInterestRateIndexMaturity(ON_6M_index,E9)</f>
        <v>42555</v>
      </c>
      <c r="G9" s="62">
        <f>_xll.qlQuoteValue(D9,AllTriggers)</f>
        <v>5.4000000000000001E-4</v>
      </c>
      <c r="H9" s="62">
        <f>_xll.qlIndexFixing(ON_6M_index,_xll.qlInterestRateIndexFixingDate(ON_6M_index,E9),,AllTriggers)</f>
        <v>-1.3918355077205556E-3</v>
      </c>
      <c r="I9" s="265">
        <f t="shared" si="0"/>
        <v>1.9318355077205555E-3</v>
      </c>
      <c r="J9" s="62">
        <f>_xll.qlTenorBasisValue($R$18,E9,Trigger)</f>
        <v>1.9087682574142107E-3</v>
      </c>
      <c r="K9" s="188">
        <f t="shared" si="4"/>
        <v>0.23067250306344758</v>
      </c>
      <c r="L9" s="206">
        <f>_xll.qlDayCounterYearFraction("actual/365 (fixed)",SettlementDate,E9,,,Trigger)</f>
        <v>0.41917808219178082</v>
      </c>
      <c r="M9" s="234">
        <f t="shared" si="1"/>
        <v>2.3067250306344758E-5</v>
      </c>
      <c r="N9" s="184">
        <f>_xll.qlYieldTSDiscount(Discounting,E9,,AllTriggers)</f>
        <v>1.0005433394324059</v>
      </c>
      <c r="O9" s="237" t="b">
        <v>1</v>
      </c>
      <c r="Q9" s="277" t="s">
        <v>89</v>
      </c>
      <c r="R9" s="190">
        <f>_xll.qlPolynomialCalibrationError(R6,)</f>
        <v>1.4437430404774237E-4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42404</v>
      </c>
      <c r="F10" s="296">
        <f>_xll.qlInterestRateIndexMaturity(ON_6M_index,E10)</f>
        <v>42586</v>
      </c>
      <c r="G10" s="62">
        <f>_xll.qlQuoteValue(D10,AllTriggers)</f>
        <v>5.6999999999999998E-4</v>
      </c>
      <c r="H10" s="62">
        <f>_xll.qlIndexFixing(ON_6M_index,_xll.qlInterestRateIndexFixingDate(ON_6M_index,E10),,AllTriggers)</f>
        <v>-1.3817179551753414E-3</v>
      </c>
      <c r="I10" s="265">
        <f t="shared" si="0"/>
        <v>1.9517179551753413E-3</v>
      </c>
      <c r="J10" s="62">
        <f>_xll.qlTenorBasisValue($R$18,E10,Trigger)</f>
        <v>1.9525417512645318E-3</v>
      </c>
      <c r="K10" s="188">
        <f t="shared" si="4"/>
        <v>-8.2379608919050211E-3</v>
      </c>
      <c r="L10" s="206">
        <f>_xll.qlDayCounterYearFraction("actual/365 (fixed)",SettlementDate,E10,,,Trigger)</f>
        <v>0.50410958904109593</v>
      </c>
      <c r="M10" s="234">
        <f t="shared" si="1"/>
        <v>-8.2379608919050211E-7</v>
      </c>
      <c r="N10" s="184">
        <f>_xll.qlYieldTSDiscount(Discounting,E10,,AllTriggers)</f>
        <v>1.0006622129917457</v>
      </c>
      <c r="O10" s="237" t="b">
        <v>1</v>
      </c>
      <c r="Q10" s="277" t="s">
        <v>124</v>
      </c>
      <c r="R10" s="190">
        <f>_xll.qlPolynomialCalibrationMaxError(R6,)</f>
        <v>1.8478510550863983E-4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42433</v>
      </c>
      <c r="F11" s="295">
        <f>_xll.qlInterestRateIndexMaturity(ON_6M_index,E11)</f>
        <v>42618</v>
      </c>
      <c r="G11" s="67">
        <f>_xll.qlQuoteValue(D11,AllTriggers)</f>
        <v>6.0999999999999997E-4</v>
      </c>
      <c r="H11" s="67">
        <f>_xll.qlIndexFixing(ON_6M_index,_xll.qlInterestRateIndexFixingDate(ON_6M_index,E11),,AllTriggers)</f>
        <v>-1.3634722515816632E-3</v>
      </c>
      <c r="I11" s="280">
        <f t="shared" si="0"/>
        <v>1.973472251581663E-3</v>
      </c>
      <c r="J11" s="67">
        <f>_xll.qlTenorBasisValue($R$18,E11,Trigger)</f>
        <v>1.9939617570561628E-3</v>
      </c>
      <c r="K11" s="240">
        <f t="shared" si="4"/>
        <v>-0.20489505474499767</v>
      </c>
      <c r="L11" s="285">
        <f>_xll.qlDayCounterYearFraction("actual/365 (fixed)",SettlementDate,E11,,,Trigger)</f>
        <v>0.58356164383561648</v>
      </c>
      <c r="M11" s="279">
        <f t="shared" si="1"/>
        <v>-2.0489505474499767E-5</v>
      </c>
      <c r="N11" s="183">
        <f>_xll.qlYieldTSDiscount(Discounting,E11,,AllTriggers)</f>
        <v>1.0007752898366025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42464</v>
      </c>
      <c r="F12" s="296">
        <f>_xll.qlInterestRateIndexMaturity(ON_6M_index,E12)</f>
        <v>42647</v>
      </c>
      <c r="G12" s="62">
        <f>_xll.qlQuoteValue(D12,AllTriggers)</f>
        <v>6.7000000000000002E-4</v>
      </c>
      <c r="H12" s="62">
        <f>_xll.qlIndexFixing(ON_6M_index,_xll.qlInterestRateIndexFixingDate(ON_6M_index,E12),,AllTriggers)</f>
        <v>-1.3500131959086269E-3</v>
      </c>
      <c r="I12" s="265">
        <f t="shared" si="0"/>
        <v>2.0200131959086272E-3</v>
      </c>
      <c r="J12" s="62">
        <f>_xll.qlTenorBasisValue($R$18,E12,Trigger)</f>
        <v>2.0383198550711283E-3</v>
      </c>
      <c r="K12" s="188">
        <f t="shared" si="4"/>
        <v>-0.1830665916250111</v>
      </c>
      <c r="L12" s="206">
        <f>_xll.qlDayCounterYearFraction("actual/365 (fixed)",SettlementDate,E12,,,Trigger)</f>
        <v>0.66849315068493154</v>
      </c>
      <c r="M12" s="234">
        <f t="shared" si="1"/>
        <v>-1.8306659162501109E-5</v>
      </c>
      <c r="N12" s="184">
        <f>_xll.qlYieldTSDiscount(Discounting,E12,,AllTriggers)</f>
        <v>1.0008946668857617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42494</v>
      </c>
      <c r="F13" s="296">
        <f>_xll.qlInterestRateIndexMaturity(ON_6M_index,E13)</f>
        <v>42678</v>
      </c>
      <c r="G13" s="62">
        <f>_xll.qlQuoteValue(D13,AllTriggers)</f>
        <v>7.3000000000000007E-4</v>
      </c>
      <c r="H13" s="62">
        <f>_xll.qlIndexFixing(ON_6M_index,_xll.qlInterestRateIndexFixingDate(ON_6M_index,E13),,AllTriggers)</f>
        <v>-1.3409606574083209E-3</v>
      </c>
      <c r="I13" s="265">
        <f t="shared" si="0"/>
        <v>2.0709606574083211E-3</v>
      </c>
      <c r="J13" s="62">
        <f>_xll.qlTenorBasisValue($R$18,E13,Trigger)</f>
        <v>2.0809171038636103E-3</v>
      </c>
      <c r="K13" s="188">
        <f t="shared" si="4"/>
        <v>-9.9564464552891724E-2</v>
      </c>
      <c r="L13" s="206">
        <f>_xll.qlDayCounterYearFraction("actual/365 (fixed)",SettlementDate,E13,,,Trigger)</f>
        <v>0.75068493150684934</v>
      </c>
      <c r="M13" s="234">
        <f t="shared" si="1"/>
        <v>-9.9564464552891717E-6</v>
      </c>
      <c r="N13" s="184">
        <f>_xll.qlYieldTSDiscount(Discounting,E13,,AllTriggers)</f>
        <v>1.0010108526468722</v>
      </c>
      <c r="O13" s="237" t="b">
        <v>1</v>
      </c>
      <c r="Q13" s="277" t="s">
        <v>113</v>
      </c>
      <c r="R13" s="190">
        <f t="array" ref="R13:R17">_xll.qlPolynomialCalibrationCoefficients($R$6,R7)</f>
        <v>1.7152723370223899E-3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42527</v>
      </c>
      <c r="F14" s="296">
        <f>_xll.qlInterestRateIndexMaturity(ON_6M_index,E14)</f>
        <v>42710</v>
      </c>
      <c r="G14" s="62">
        <f>_xll.qlQuoteValue(D14,AllTriggers)</f>
        <v>8.0000000000000015E-4</v>
      </c>
      <c r="H14" s="62">
        <f>_xll.qlIndexFixing(ON_6M_index,_xll.qlInterestRateIndexFixingDate(ON_6M_index,E14),,AllTriggers)</f>
        <v>-1.3352015883716555E-3</v>
      </c>
      <c r="I14" s="265">
        <f t="shared" si="0"/>
        <v>2.1352015883716558E-3</v>
      </c>
      <c r="J14" s="62">
        <f>_xll.qlTenorBasisValue($R$18,E14,Trigger)</f>
        <v>2.1269125532438608E-3</v>
      </c>
      <c r="K14" s="188">
        <f t="shared" si="4"/>
        <v>8.2890351277950691E-2</v>
      </c>
      <c r="L14" s="206">
        <f>_xll.qlDayCounterYearFraction("actual/365 (fixed)",SettlementDate,E14,,,Trigger)</f>
        <v>0.84109589041095889</v>
      </c>
      <c r="M14" s="234">
        <f t="shared" si="1"/>
        <v>8.2890351277950698E-6</v>
      </c>
      <c r="N14" s="184">
        <f>_xll.qlYieldTSDiscount(Discounting,E14,,AllTriggers)</f>
        <v>1.0011408336248027</v>
      </c>
      <c r="O14" s="237" t="b">
        <v>1</v>
      </c>
      <c r="Q14" s="277" t="s">
        <v>114</v>
      </c>
      <c r="R14" s="190">
        <v>3.9129064495227364E-4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42555</v>
      </c>
      <c r="F15" s="296">
        <f>_xll.qlInterestRateIndexMaturity(ON_6M_index,E15)</f>
        <v>42739</v>
      </c>
      <c r="G15" s="62">
        <f>_xll.qlQuoteValue(D15,AllTriggers)</f>
        <v>8.7999999999999992E-4</v>
      </c>
      <c r="H15" s="62">
        <f>_xll.qlIndexFixing(ON_6M_index,_xll.qlInterestRateIndexFixingDate(ON_6M_index,E15),,AllTriggers)</f>
        <v>-1.267619209249999E-3</v>
      </c>
      <c r="I15" s="265">
        <f t="shared" si="0"/>
        <v>2.1476192092499992E-3</v>
      </c>
      <c r="J15" s="62">
        <f>_xll.qlTenorBasisValue($R$18,E15,Trigger)</f>
        <v>2.1648441340304868E-3</v>
      </c>
      <c r="K15" s="188">
        <f t="shared" si="4"/>
        <v>-0.17224924780487577</v>
      </c>
      <c r="L15" s="206">
        <f>_xll.qlDayCounterYearFraction("actual/365 (fixed)",SettlementDate,E15,,,Trigger)</f>
        <v>0.9178082191780822</v>
      </c>
      <c r="M15" s="234">
        <f t="shared" si="1"/>
        <v>-1.7224924780487576E-5</v>
      </c>
      <c r="N15" s="184">
        <f>_xll.qlYieldTSDiscount(Discounting,E15,,AllTriggers)</f>
        <v>1.0012478676680545</v>
      </c>
      <c r="O15" s="237" t="b">
        <v>1</v>
      </c>
      <c r="Q15" s="277" t="s">
        <v>115</v>
      </c>
      <c r="R15" s="190">
        <v>2.1851309376883291E-4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42586</v>
      </c>
      <c r="F16" s="296">
        <f>_xll.qlInterestRateIndexMaturity(ON_6M_index,E16)</f>
        <v>42772</v>
      </c>
      <c r="G16" s="62">
        <f>_xll.qlQuoteValue(D16,AllTriggers)</f>
        <v>9.7999999999999997E-4</v>
      </c>
      <c r="H16" s="62">
        <f>_xll.qlIndexFixing(ON_6M_index,_xll.qlInterestRateIndexFixingDate(ON_6M_index,E16),,AllTriggers)</f>
        <v>-1.2563517023481934E-3</v>
      </c>
      <c r="I16" s="265">
        <f t="shared" si="0"/>
        <v>2.2363517023481936E-3</v>
      </c>
      <c r="J16" s="62">
        <f>_xll.qlTenorBasisValue($R$18,E16,Trigger)</f>
        <v>2.2052483348060569E-3</v>
      </c>
      <c r="K16" s="188">
        <f t="shared" si="4"/>
        <v>0.3110336754213669</v>
      </c>
      <c r="L16" s="206">
        <f>_xll.qlDayCounterYearFraction("actual/365 (fixed)",SettlementDate,E16,,,Trigger)</f>
        <v>1.0027397260273974</v>
      </c>
      <c r="M16" s="234">
        <f t="shared" si="1"/>
        <v>3.110336754213669E-5</v>
      </c>
      <c r="N16" s="184">
        <f>_xll.qlYieldTSDiscount(Discounting,E16,,AllTriggers)</f>
        <v>1.0013616993751251</v>
      </c>
      <c r="O16" s="237" t="b">
        <v>1</v>
      </c>
      <c r="Q16" s="277" t="s">
        <v>116</v>
      </c>
      <c r="R16" s="190">
        <v>-1.2110066490147089E-4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42618</v>
      </c>
      <c r="F17" s="296">
        <f>_xll.qlInterestRateIndexMaturity(ON_6M_index,E17)</f>
        <v>42800</v>
      </c>
      <c r="G17" s="62">
        <f>_xll.qlQuoteValue(D17,AllTriggers)</f>
        <v>1.06E-3</v>
      </c>
      <c r="H17" s="62">
        <f>_xll.qlIndexFixing(ON_6M_index,_xll.qlInterestRateIndexFixingDate(ON_6M_index,E17),,AllTriggers)</f>
        <v>-1.221921126513079E-3</v>
      </c>
      <c r="I17" s="265">
        <f t="shared" si="0"/>
        <v>2.2819211265130788E-3</v>
      </c>
      <c r="J17" s="62">
        <f>_xll.qlTenorBasisValue($R$18,E17,Trigger)</f>
        <v>2.244744826005441E-3</v>
      </c>
      <c r="K17" s="188">
        <f t="shared" si="4"/>
        <v>0.3717630050763775</v>
      </c>
      <c r="L17" s="206">
        <f>_xll.qlDayCounterYearFraction("actual/365 (fixed)",SettlementDate,E17,,,Trigger)</f>
        <v>1.0904109589041096</v>
      </c>
      <c r="M17" s="234">
        <f t="shared" si="1"/>
        <v>3.7176300507637747E-5</v>
      </c>
      <c r="N17" s="184">
        <f>_xll.qlYieldTSDiscount(Discounting,E17,,AllTriggers)</f>
        <v>1.0014769979699523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42647</v>
      </c>
      <c r="F18" s="296">
        <f>_xll.qlInterestRateIndexMaturity(ON_6M_index,E18)</f>
        <v>42829</v>
      </c>
      <c r="G18" s="62">
        <f>_xll.qlQuoteValue(D18,AllTriggers)</f>
        <v>1.15E-3</v>
      </c>
      <c r="H18" s="62">
        <f>_xll.qlIndexFixing(ON_6M_index,_xll.qlInterestRateIndexFixingDate(ON_6M_index,E18),,AllTriggers)</f>
        <v>-1.162102292209987E-3</v>
      </c>
      <c r="I18" s="265">
        <f t="shared" si="0"/>
        <v>2.312102292209987E-3</v>
      </c>
      <c r="J18" s="62">
        <f>_xll.qlTenorBasisValue($R$18,E18,Trigger)</f>
        <v>2.2781930437939068E-3</v>
      </c>
      <c r="K18" s="188">
        <f t="shared" si="4"/>
        <v>0.33909248416080179</v>
      </c>
      <c r="L18" s="206">
        <f>_xll.qlDayCounterYearFraction("actual/365 (fixed)",SettlementDate,E18,,,Trigger)</f>
        <v>1.1698630136986301</v>
      </c>
      <c r="M18" s="234">
        <f t="shared" si="1"/>
        <v>3.3909248416080177E-5</v>
      </c>
      <c r="N18" s="184">
        <f>_xll.qlYieldTSDiscount(Discounting,E18,,AllTriggers)</f>
        <v>1.0015820092581473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obj_005da#0001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42678</v>
      </c>
      <c r="F19" s="296">
        <f>_xll.qlInterestRateIndexMaturity(ON_6M_index,E19)</f>
        <v>42859</v>
      </c>
      <c r="G19" s="62">
        <f>_xll.qlQuoteValue(D19,AllTriggers)</f>
        <v>1.2700000000000001E-3</v>
      </c>
      <c r="H19" s="62">
        <f>_xll.qlIndexFixing(ON_6M_index,_xll.qlInterestRateIndexFixingDate(ON_6M_index,E19),,AllTriggers)</f>
        <v>-1.0732738519602784E-3</v>
      </c>
      <c r="I19" s="265">
        <f t="shared" si="0"/>
        <v>2.3432738519602783E-3</v>
      </c>
      <c r="J19" s="62">
        <f>_xll.qlTenorBasisValue($R$18,E19,Trigger)</f>
        <v>2.3110557469096355E-3</v>
      </c>
      <c r="K19" s="188">
        <f t="shared" si="4"/>
        <v>0.32218105050642754</v>
      </c>
      <c r="L19" s="206">
        <f>_xll.qlDayCounterYearFraction("actual/365 (fixed)",SettlementDate,E19,,,Trigger)</f>
        <v>1.2547945205479452</v>
      </c>
      <c r="M19" s="234">
        <f t="shared" si="1"/>
        <v>3.2218105050642754E-5</v>
      </c>
      <c r="N19" s="184">
        <f>_xll.qlYieldTSDiscount(Discounting,E19,,AllTriggers)</f>
        <v>1.0016973958994539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42709</v>
      </c>
      <c r="F20" s="296">
        <f>_xll.qlInterestRateIndexMaturity(ON_6M_index,E20)</f>
        <v>42891</v>
      </c>
      <c r="G20" s="62">
        <f>_xll.qlQuoteValue(D20,AllTriggers)</f>
        <v>1.3799999999999999E-3</v>
      </c>
      <c r="H20" s="62">
        <f>_xll.qlIndexFixing(ON_6M_index,_xll.qlInterestRateIndexFixingDate(ON_6M_index,E20),,AllTriggers)</f>
        <v>-9.5697850370794139E-4</v>
      </c>
      <c r="I20" s="265">
        <f t="shared" si="0"/>
        <v>2.3369785037079412E-3</v>
      </c>
      <c r="J20" s="62">
        <f>_xll.qlTenorBasisValue($R$18,E20,Trigger)</f>
        <v>2.3404941773376661E-3</v>
      </c>
      <c r="K20" s="188">
        <f t="shared" si="4"/>
        <v>-3.5156736297248595E-2</v>
      </c>
      <c r="L20" s="206">
        <f>_xll.qlDayCounterYearFraction("actual/365 (fixed)",SettlementDate,E20,,,Trigger)</f>
        <v>1.3397260273972602</v>
      </c>
      <c r="M20" s="234">
        <f t="shared" si="1"/>
        <v>-3.5156736297248595E-6</v>
      </c>
      <c r="N20" s="184">
        <f>_xll.qlYieldTSDiscount(Discounting,E20,,AllTriggers)</f>
        <v>1.0018169298955846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42739</v>
      </c>
      <c r="F21" s="296">
        <f>_xll.qlInterestRateIndexMaturity(ON_6M_index,E21)</f>
        <v>42920</v>
      </c>
      <c r="G21" s="62">
        <f>_xll.qlQuoteValue(D21,AllTriggers)</f>
        <v>1.48E-3</v>
      </c>
      <c r="H21" s="62">
        <f>_xll.qlIndexFixing(ON_6M_index,_xll.qlInterestRateIndexFixingDate(ON_6M_index,E21),,AllTriggers)</f>
        <v>-9.0240447869917512E-4</v>
      </c>
      <c r="I21" s="265">
        <f t="shared" si="0"/>
        <v>2.3824044786991752E-3</v>
      </c>
      <c r="J21" s="62">
        <f>_xll.qlTenorBasisValue($R$18,E21,Trigger)</f>
        <v>2.3653033346732622E-3</v>
      </c>
      <c r="K21" s="188">
        <f t="shared" si="4"/>
        <v>0.17101144025912993</v>
      </c>
      <c r="L21" s="206">
        <f>_xll.qlDayCounterYearFraction("actual/365 (fixed)",SettlementDate,E21,,,Trigger)</f>
        <v>1.4219178082191781</v>
      </c>
      <c r="M21" s="234">
        <f t="shared" si="1"/>
        <v>1.7101144025912993E-5</v>
      </c>
      <c r="N21" s="184">
        <f>_xll.qlYieldTSDiscount(Discounting,E21,,AllTriggers)</f>
        <v>1.0018969909801321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42772</v>
      </c>
      <c r="F22" s="297">
        <f>_xll.qlInterestRateIndexMaturity(ON_6M_index,E22)</f>
        <v>42954</v>
      </c>
      <c r="G22" s="65">
        <f>_xll.qlQuoteValue(D22,AllTriggers)</f>
        <v>1.6200000000000001E-3</v>
      </c>
      <c r="H22" s="65">
        <f>_xll.qlIndexFixing(ON_6M_index,_xll.qlInterestRateIndexFixingDate(ON_6M_index,E22),,AllTriggers)</f>
        <v>-7.6462172680501748E-4</v>
      </c>
      <c r="I22" s="260">
        <f t="shared" si="0"/>
        <v>2.3846217268050176E-3</v>
      </c>
      <c r="J22" s="65">
        <f>_xll.qlTenorBasisValue($R$18,E22,Trigger)</f>
        <v>2.3879264006568669E-3</v>
      </c>
      <c r="K22" s="189">
        <f t="shared" si="4"/>
        <v>-3.3046738518493005E-2</v>
      </c>
      <c r="L22" s="207">
        <f>_xll.qlDayCounterYearFraction("actual/365 (fixed)",SettlementDate,E22,,,Trigger)</f>
        <v>1.5123287671232877</v>
      </c>
      <c r="M22" s="235">
        <f t="shared" si="1"/>
        <v>-3.3046738518493005E-6</v>
      </c>
      <c r="N22" s="185">
        <f>_xll.qlYieldTSDiscount(Discounting,E22,,AllTriggers)</f>
        <v>1.002012120519042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42220</v>
      </c>
      <c r="H25" s="295">
        <f>_xll.qlCalendarAdvance(Calendar,SettlementDate,F25,"Following",,Trigger)</f>
        <v>42221</v>
      </c>
      <c r="I25" s="287">
        <f>_xll.qlTenorBasisForwardRate2(TenorBasis6M,G25,H25,AllTriggers)</f>
        <v>4.0287569328611994E-4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42220</v>
      </c>
      <c r="H26" s="296">
        <f>_xll.qlCalendarAdvance(Calendar,SettlementDate,F26,"Following",,Trigger)</f>
        <v>42227</v>
      </c>
      <c r="I26" s="288">
        <f>_xll.qlTenorBasisForwardRate2(TenorBasis6M,G26,H26,AllTriggers)</f>
        <v>4.0505215684407043E-4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42220</v>
      </c>
      <c r="H27" s="296">
        <f>_xll.qlCalendarAdvance(Calendar,SettlementDate,F27,"Following",,Trigger)</f>
        <v>42234</v>
      </c>
      <c r="I27" s="288">
        <f>_xll.qlTenorBasisForwardRate2(TenorBasis6M,G27,H27,AllTriggers)</f>
        <v>3.9764547765410081E-4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42220</v>
      </c>
      <c r="H28" s="296">
        <f>_xll.qlCalendarAdvance(Calendar,SettlementDate,F28,"Following",,Trigger)</f>
        <v>42241</v>
      </c>
      <c r="I28" s="288">
        <f>_xll.qlTenorBasisForwardRate2(TenorBasis6M,G28,H28,AllTriggers)</f>
        <v>4.0031191423420661E-4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42220</v>
      </c>
      <c r="H29" s="301">
        <f>_xll.qlCalendarAdvance(Calendar,SettlementDate,F29,"mf",TRUE,Trigger)</f>
        <v>42251</v>
      </c>
      <c r="I29" s="289">
        <f>_xll.qlTenorBasisForwardRate2(TenorBasis6M,G29,H29,AllTriggers)</f>
        <v>3.8076739418758986E-4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42220</v>
      </c>
      <c r="H30" s="296">
        <f>_xll.qlCalendarAdvance(Calendar,SettlementDate,F30,"mf",TRUE,Trigger)</f>
        <v>42282</v>
      </c>
      <c r="I30" s="288">
        <f>_xll.qlTenorBasisForwardRate2(TenorBasis6M,G30,H30,AllTriggers)</f>
        <v>3.8723780123774186E-4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42220</v>
      </c>
      <c r="H31" s="296">
        <f>_xll.qlCalendarAdvance(Calendar,SettlementDate,F31,"mf",TRUE,Trigger)</f>
        <v>42312</v>
      </c>
      <c r="I31" s="288">
        <f>_xll.qlTenorBasisForwardRate2(TenorBasis6M,G31,H31,AllTriggers)</f>
        <v>3.8997305248164463E-4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42220</v>
      </c>
      <c r="H32" s="296">
        <f>_xll.qlCalendarAdvance(Calendar,SettlementDate,F32,"mf",TRUE,Trigger)</f>
        <v>42342</v>
      </c>
      <c r="I32" s="288">
        <f>_xll.qlTenorBasisForwardRate2(TenorBasis6M,G32,H32,AllTriggers)</f>
        <v>4.0378445612225007E-4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42220</v>
      </c>
      <c r="H33" s="297">
        <f>_xll.qlCalendarAdvance(Calendar,SettlementDate,F33,"mf",TRUE,Trigger)</f>
        <v>42373</v>
      </c>
      <c r="I33" s="290">
        <f>_xll.qlTenorBasisForwardRate2(TenorBasis6M,G33,H33,AllTriggers)</f>
        <v>4.2158585710700184E-4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42220</v>
      </c>
      <c r="H34" s="294">
        <f>_xll.qlCalendarAdvance(Calendar,SettlementDate,F34,"mf",TRUE,Trigger)</f>
        <v>42404</v>
      </c>
      <c r="I34" s="291">
        <f>_xll.qlTenorBasisForwardRate2(TenorBasis6M,G34,H34,AllTriggers)</f>
        <v>4.1742054413159172E-4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42220</v>
      </c>
      <c r="F3" s="294">
        <f>_xll.qlInterestRateIndexMaturity(PROPER(Currency)&amp;"ibor"&amp;$F$1,E3)</f>
        <v>42586</v>
      </c>
      <c r="G3" s="258">
        <f>J3+$H$4</f>
        <v>1.6558775702768074E-3</v>
      </c>
      <c r="H3" s="239"/>
      <c r="I3" s="239"/>
      <c r="J3" s="190">
        <f>_xll.qlTenorBasisValue($R$18,E3,Trigger)</f>
        <v>2.982245601977733E-3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obj_0058b#0001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42220</v>
      </c>
      <c r="F4" s="294">
        <f>_xll.qlInterestRateIndexMaturity(ON_12M_index,E4)</f>
        <v>42586</v>
      </c>
      <c r="G4" s="190">
        <f>_xll.qlQuoteValue(D4,LastFixingsTrigger)</f>
        <v>1.6699999999999998E-3</v>
      </c>
      <c r="H4" s="190">
        <f>_xll.qlIndexFixing(ON_12M_index,_xll.qlInterestRateIndexFixingDate(ON_12M_index,E4),,AllTriggers)</f>
        <v>-1.3263680317009256E-3</v>
      </c>
      <c r="I4" s="258">
        <f t="shared" ref="I4:I14" si="0">G4-H4</f>
        <v>2.9963680317009254E-3</v>
      </c>
      <c r="J4" s="186">
        <f>_xll.qlTenorBasisValue($R$18,E4,Trigger)</f>
        <v>2.982245601977733E-3</v>
      </c>
      <c r="K4" s="187">
        <f>L4*10000</f>
        <v>0.14122429723192453</v>
      </c>
      <c r="L4" s="278">
        <f t="shared" ref="L4:L16" si="1">I4-J4</f>
        <v>1.4122429723192453E-5</v>
      </c>
      <c r="M4" s="284">
        <f>_xll.qlDayCounterYearFraction("actual/365 (fixed)",SettlementDate,E4,,,Trigger)</f>
        <v>0</v>
      </c>
      <c r="N4" s="281">
        <f>_xll.qlYieldTSDiscount(Discounting,E4,,AllTriggers)</f>
        <v>1.0000113889931339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42251</v>
      </c>
      <c r="F5" s="295">
        <f>_xll.qlInterestRateIndexMaturity(ON_12M_index,E5)</f>
        <v>42618</v>
      </c>
      <c r="G5" s="67">
        <f>_xll.qlQuoteValue(D5,AllTriggers)</f>
        <v>1.6499999999999998E-3</v>
      </c>
      <c r="H5" s="67">
        <f>_xll.qlIndexFixing(ON_12M_index,_xll.qlInterestRateIndexFixingDate(ON_12M_index,E5),,AllTriggers)</f>
        <v>-1.3314858021797871E-3</v>
      </c>
      <c r="I5" s="280">
        <f t="shared" ref="I5:I13" si="3">G5-H5</f>
        <v>2.9814858021797869E-3</v>
      </c>
      <c r="J5" s="67">
        <f>_xll.qlTenorBasisValue($R$18,E5,Trigger)</f>
        <v>3.0027540402908226E-3</v>
      </c>
      <c r="K5" s="240">
        <f t="shared" ref="K5:K16" si="4">L5*10000</f>
        <v>-0.21268238111035731</v>
      </c>
      <c r="L5" s="279">
        <f t="shared" si="1"/>
        <v>-2.1268238111035731E-5</v>
      </c>
      <c r="M5" s="285">
        <f>_xll.qlDayCounterYearFraction("actual/365 (fixed)",SettlementDate,E5,,,Trigger)</f>
        <v>8.4931506849315067E-2</v>
      </c>
      <c r="N5" s="183">
        <f>_xll.qlYieldTSDiscount(Discounting,E5,,AllTriggers)</f>
        <v>1.0001176173247566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42282</v>
      </c>
      <c r="F6" s="296">
        <f>_xll.qlInterestRateIndexMaturity(ON_12M_index,E6)</f>
        <v>42648</v>
      </c>
      <c r="G6" s="62">
        <f>_xll.qlQuoteValue(D6,AllTriggers)</f>
        <v>1.6899999999999999E-3</v>
      </c>
      <c r="H6" s="62">
        <f>_xll.qlIndexFixing(ON_12M_index,_xll.qlInterestRateIndexFixingDate(ON_12M_index,E6),,AllTriggers)</f>
        <v>-1.336236285901934E-3</v>
      </c>
      <c r="I6" s="265">
        <f t="shared" si="3"/>
        <v>3.0262362859019339E-3</v>
      </c>
      <c r="J6" s="62">
        <f>_xll.qlTenorBasisValue($R$18,E6,Trigger)</f>
        <v>3.0328441972222518E-3</v>
      </c>
      <c r="K6" s="188">
        <f t="shared" si="4"/>
        <v>-6.6079113203178746E-2</v>
      </c>
      <c r="L6" s="234">
        <f t="shared" si="1"/>
        <v>-6.607911320317874E-6</v>
      </c>
      <c r="M6" s="206">
        <f>_xll.qlDayCounterYearFraction("actual/365 (fixed)",SettlementDate,E6,,,Trigger)</f>
        <v>0.16986301369863013</v>
      </c>
      <c r="N6" s="184">
        <f>_xll.qlYieldTSDiscount(Discounting,E6,,AllTriggers)</f>
        <v>1.000225006246154</v>
      </c>
      <c r="O6" s="237" t="b">
        <v>1</v>
      </c>
      <c r="Q6" s="277" t="s">
        <v>126</v>
      </c>
      <c r="R6" s="282" t="str">
        <f>_xll.qlPolynomialCalibration(,_xll.ohFilter($M$4:$M$17,$O$4:$O$17),_xll.ohFilter($I$4:$I$17,$O$4:$O$17),_xll.ohFilter($N$4:$N$17,$O$4:$O$17),_xll.ohFilter(T13:T17,S13:S17),,,,,Trigger)</f>
        <v>obj_005d6#0001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42312</v>
      </c>
      <c r="F7" s="296">
        <f>_xll.qlInterestRateIndexMaturity(ON_12M_index,E7)</f>
        <v>42678</v>
      </c>
      <c r="G7" s="62">
        <f>_xll.qlQuoteValue(D7,AllTriggers)</f>
        <v>1.7299999999999998E-3</v>
      </c>
      <c r="H7" s="62">
        <f>_xll.qlIndexFixing(ON_12M_index,_xll.qlInterestRateIndexFixingDate(ON_12M_index,E7),,AllTriggers)</f>
        <v>-1.3414787346970071E-3</v>
      </c>
      <c r="I7" s="265">
        <f t="shared" si="3"/>
        <v>3.0714787346970071E-3</v>
      </c>
      <c r="J7" s="62">
        <f>_xll.qlTenorBasisValue($R$18,E7,Trigger)</f>
        <v>3.0701168459203363E-3</v>
      </c>
      <c r="K7" s="188">
        <f t="shared" si="4"/>
        <v>1.36188877667082E-2</v>
      </c>
      <c r="L7" s="234">
        <f t="shared" si="1"/>
        <v>1.36188877667082E-6</v>
      </c>
      <c r="M7" s="206">
        <f>_xll.qlDayCounterYearFraction("actual/365 (fixed)",SettlementDate,E7,,,Trigger)</f>
        <v>0.25205479452054796</v>
      </c>
      <c r="N7" s="184">
        <f>_xll.qlYieldTSDiscount(Discounting,E7,,AllTriggers)</f>
        <v>1.0003312442150001</v>
      </c>
      <c r="O7" s="237" t="b">
        <v>1</v>
      </c>
      <c r="Q7" s="277" t="s">
        <v>127</v>
      </c>
      <c r="R7" s="282" t="b">
        <f>_xll.qlPolynomialCalibrationCompute($R$6,AllTriggers)</f>
        <v>1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42342</v>
      </c>
      <c r="F8" s="296">
        <f>_xll.qlInterestRateIndexMaturity(ON_12M_index,E8)</f>
        <v>42709</v>
      </c>
      <c r="G8" s="62">
        <f>_xll.qlQuoteValue(D8,AllTriggers)</f>
        <v>1.7799999999999999E-3</v>
      </c>
      <c r="H8" s="62">
        <f>_xll.qlIndexFixing(ON_12M_index,_xll.qlInterestRateIndexFixingDate(ON_12M_index,E8),,AllTriggers)</f>
        <v>-1.3521645919270316E-3</v>
      </c>
      <c r="I8" s="265">
        <f t="shared" si="3"/>
        <v>3.1321645919270315E-3</v>
      </c>
      <c r="J8" s="62">
        <f>_xll.qlTenorBasisValue($R$18,E8,Trigger)</f>
        <v>3.1144653185634892E-3</v>
      </c>
      <c r="K8" s="188">
        <f t="shared" si="4"/>
        <v>0.17699273363542234</v>
      </c>
      <c r="L8" s="234">
        <f t="shared" si="1"/>
        <v>1.7699273363542233E-5</v>
      </c>
      <c r="M8" s="206">
        <f>_xll.qlDayCounterYearFraction("actual/365 (fixed)",SettlementDate,E8,,,Trigger)</f>
        <v>0.33424657534246577</v>
      </c>
      <c r="N8" s="184">
        <f>_xll.qlYieldTSDiscount(Discounting,E8,,AllTriggers)</f>
        <v>1.0004359686552162</v>
      </c>
      <c r="O8" s="237" t="b">
        <v>1</v>
      </c>
      <c r="Q8" s="277" t="s">
        <v>128</v>
      </c>
      <c r="R8" s="282" t="str">
        <f>_xll.qlPolynomialCalibrationEndCriteria(R6,)</f>
        <v>None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42373</v>
      </c>
      <c r="F9" s="296">
        <f>_xll.qlInterestRateIndexMaturity(ON_12M_index,E9)</f>
        <v>42739</v>
      </c>
      <c r="G9" s="62">
        <f>_xll.qlQuoteValue(D9,AllTriggers)</f>
        <v>1.8400000000000001E-3</v>
      </c>
      <c r="H9" s="62">
        <f>_xll.qlIndexFixing(ON_12M_index,_xll.qlInterestRateIndexFixingDate(ON_12M_index,E9),,AllTriggers)</f>
        <v>-1.3289395524029857E-3</v>
      </c>
      <c r="I9" s="265">
        <f t="shared" si="3"/>
        <v>3.1689395524029857E-3</v>
      </c>
      <c r="J9" s="62">
        <f>_xll.qlTenorBasisValue($R$18,E9,Trigger)</f>
        <v>3.1667342525494046E-3</v>
      </c>
      <c r="K9" s="188">
        <f t="shared" si="4"/>
        <v>2.2052998535811164E-2</v>
      </c>
      <c r="L9" s="234">
        <f t="shared" si="1"/>
        <v>2.2052998535811164E-6</v>
      </c>
      <c r="M9" s="206">
        <f>_xll.qlDayCounterYearFraction("actual/365 (fixed)",SettlementDate,E9,,,Trigger)</f>
        <v>0.41917808219178082</v>
      </c>
      <c r="N9" s="184">
        <f>_xll.qlYieldTSDiscount(Discounting,E9,,AllTriggers)</f>
        <v>1.0005433394324059</v>
      </c>
      <c r="O9" s="237" t="b">
        <v>1</v>
      </c>
      <c r="Q9" s="277" t="s">
        <v>89</v>
      </c>
      <c r="R9" s="190">
        <f>_xll.qlPolynomialCalibrationError(R6,)</f>
        <v>1.8116226490148734E-4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42404</v>
      </c>
      <c r="F10" s="296">
        <f>_xll.qlInterestRateIndexMaturity(ON_12M_index,E10)</f>
        <v>42772</v>
      </c>
      <c r="G10" s="62">
        <f>_xll.qlQuoteValue(D10,AllTriggers)</f>
        <v>1.91E-3</v>
      </c>
      <c r="H10" s="62">
        <f>_xll.qlIndexFixing(ON_12M_index,_xll.qlInterestRateIndexFixingDate(ON_12M_index,E10),,AllTriggers)</f>
        <v>-1.3179099178973728E-3</v>
      </c>
      <c r="I10" s="265">
        <f t="shared" si="3"/>
        <v>3.2279099178973729E-3</v>
      </c>
      <c r="J10" s="62">
        <f>_xll.qlTenorBasisValue($R$18,E10,Trigger)</f>
        <v>3.2245322830530038E-3</v>
      </c>
      <c r="K10" s="188">
        <f t="shared" si="4"/>
        <v>3.3776348443690686E-2</v>
      </c>
      <c r="L10" s="234">
        <f t="shared" si="1"/>
        <v>3.3776348443690686E-6</v>
      </c>
      <c r="M10" s="206">
        <f>_xll.qlDayCounterYearFraction("actual/365 (fixed)",SettlementDate,E10,,,Trigger)</f>
        <v>0.50410958904109593</v>
      </c>
      <c r="N10" s="184">
        <f>_xll.qlYieldTSDiscount(Discounting,E10,,AllTriggers)</f>
        <v>1.0006622129917457</v>
      </c>
      <c r="O10" s="237" t="b">
        <v>1</v>
      </c>
      <c r="Q10" s="277" t="s">
        <v>124</v>
      </c>
      <c r="R10" s="190">
        <f>_xll.qlPolynomialCalibrationMaxError(R6,)</f>
        <v>4.2383968002825557E-4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42433</v>
      </c>
      <c r="F11" s="296">
        <f>_xll.qlInterestRateIndexMaturity(ON_12M_index,E11)</f>
        <v>42800</v>
      </c>
      <c r="G11" s="62">
        <f>_xll.qlQuoteValue(D11,AllTriggers)</f>
        <v>1.98E-3</v>
      </c>
      <c r="H11" s="62">
        <f>_xll.qlIndexFixing(ON_12M_index,_xll.qlInterestRateIndexFixingDate(ON_12M_index,E11),,AllTriggers)</f>
        <v>-1.2928506514844238E-3</v>
      </c>
      <c r="I11" s="265">
        <f t="shared" si="3"/>
        <v>3.2728506514844236E-3</v>
      </c>
      <c r="J11" s="62">
        <f>_xll.qlTenorBasisValue($R$18,E11,Trigger)</f>
        <v>3.2826947333415039E-3</v>
      </c>
      <c r="K11" s="188">
        <f t="shared" si="4"/>
        <v>-9.844081857080314E-2</v>
      </c>
      <c r="L11" s="234">
        <f t="shared" si="1"/>
        <v>-9.844081857080314E-6</v>
      </c>
      <c r="M11" s="206">
        <f>_xll.qlDayCounterYearFraction("actual/365 (fixed)",SettlementDate,E11,,,Trigger)</f>
        <v>0.58356164383561648</v>
      </c>
      <c r="N11" s="184">
        <f>_xll.qlYieldTSDiscount(Discounting,E11,,AllTriggers)</f>
        <v>1.0007752898366025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42464</v>
      </c>
      <c r="F12" s="296">
        <f>_xll.qlInterestRateIndexMaturity(ON_12M_index,E12)</f>
        <v>42829</v>
      </c>
      <c r="G12" s="62">
        <f>_xll.qlQuoteValue(D12,AllTriggers)</f>
        <v>2.0899999999999998E-3</v>
      </c>
      <c r="H12" s="62">
        <f>_xll.qlIndexFixing(ON_12M_index,_xll.qlInterestRateIndexFixingDate(ON_12M_index,E12),,AllTriggers)</f>
        <v>-1.2559174984759158E-3</v>
      </c>
      <c r="I12" s="265">
        <f t="shared" si="3"/>
        <v>3.3459174984759154E-3</v>
      </c>
      <c r="J12" s="62">
        <f>_xll.qlTenorBasisValue($R$18,E12,Trigger)</f>
        <v>3.348268895038824E-3</v>
      </c>
      <c r="K12" s="188">
        <f t="shared" si="4"/>
        <v>-2.351396562908642E-2</v>
      </c>
      <c r="L12" s="234">
        <f t="shared" si="1"/>
        <v>-2.351396562908642E-6</v>
      </c>
      <c r="M12" s="206">
        <f>_xll.qlDayCounterYearFraction("actual/365 (fixed)",SettlementDate,E12,,,Trigger)</f>
        <v>0.66849315068493154</v>
      </c>
      <c r="N12" s="184">
        <f>_xll.qlYieldTSDiscount(Discounting,E12,,AllTriggers)</f>
        <v>1.0008946668857617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42494</v>
      </c>
      <c r="F13" s="296">
        <f>_xll.qlInterestRateIndexMaturity(ON_12M_index,E13)</f>
        <v>42859</v>
      </c>
      <c r="G13" s="62">
        <f>_xll.qlQuoteValue(D13,AllTriggers)</f>
        <v>2.2100000000000002E-3</v>
      </c>
      <c r="H13" s="62">
        <f>_xll.qlIndexFixing(ON_12M_index,_xll.qlInterestRateIndexFixingDate(ON_12M_index,E13),,AllTriggers)</f>
        <v>-1.2078525603033481E-3</v>
      </c>
      <c r="I13" s="265">
        <f t="shared" si="3"/>
        <v>3.4178525603033483E-3</v>
      </c>
      <c r="J13" s="62">
        <f>_xll.qlTenorBasisValue($R$18,E13,Trigger)</f>
        <v>3.4141245773111882E-3</v>
      </c>
      <c r="K13" s="188">
        <f t="shared" si="4"/>
        <v>3.7279829921601365E-2</v>
      </c>
      <c r="L13" s="234">
        <f t="shared" si="1"/>
        <v>3.7279829921601365E-6</v>
      </c>
      <c r="M13" s="206">
        <f>_xll.qlDayCounterYearFraction("actual/365 (fixed)",SettlementDate,E13,,,Trigger)</f>
        <v>0.75068493150684934</v>
      </c>
      <c r="N13" s="184">
        <f>_xll.qlYieldTSDiscount(Discounting,E13,,AllTriggers)</f>
        <v>1.0010108526468722</v>
      </c>
      <c r="O13" s="237" t="b">
        <v>1</v>
      </c>
      <c r="Q13" s="277" t="s">
        <v>113</v>
      </c>
      <c r="R13" s="190">
        <f t="array" ref="R13:R17">_xll.qlPolynomialCalibrationCoefficients($R$6,R7)</f>
        <v>2.982245601977733E-3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42527</v>
      </c>
      <c r="F14" s="296">
        <f>_xll.qlInterestRateIndexMaturity(ON_12M_index,E14)</f>
        <v>42892</v>
      </c>
      <c r="G14" s="62">
        <f>_xll.qlQuoteValue(D14,AllTriggers)</f>
        <v>2.3400000000000001E-3</v>
      </c>
      <c r="H14" s="62">
        <f>_xll.qlIndexFixing(ON_12M_index,_xll.qlInterestRateIndexFixingDate(ON_12M_index,E14),,AllTriggers)</f>
        <v>-1.1442997436924031E-3</v>
      </c>
      <c r="I14" s="265">
        <f t="shared" si="0"/>
        <v>3.4842997436924034E-3</v>
      </c>
      <c r="J14" s="62">
        <f>_xll.qlTenorBasisValue($R$18,E14,Trigger)</f>
        <v>3.4881629091390921E-3</v>
      </c>
      <c r="K14" s="188">
        <f t="shared" si="4"/>
        <v>-3.8631654466886843E-2</v>
      </c>
      <c r="L14" s="234">
        <f t="shared" si="1"/>
        <v>-3.8631654466886843E-6</v>
      </c>
      <c r="M14" s="206">
        <f>_xll.qlDayCounterYearFraction("actual/365 (fixed)",SettlementDate,E14,,,Trigger)</f>
        <v>0.84109589041095889</v>
      </c>
      <c r="N14" s="184">
        <f>_xll.qlYieldTSDiscount(Discounting,E14,,AllTriggers)</f>
        <v>1.0011408336248027</v>
      </c>
      <c r="O14" s="237" t="b">
        <v>1</v>
      </c>
      <c r="Q14" s="277" t="s">
        <v>114</v>
      </c>
      <c r="R14" s="190">
        <v>1.8102026794153609E-4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42555</v>
      </c>
      <c r="F15" s="296">
        <f>_xll.qlInterestRateIndexMaturity(ON_12M_index,E15)</f>
        <v>42920</v>
      </c>
      <c r="G15" s="62">
        <f>_xll.qlQuoteValue(D15,AllTriggers)</f>
        <v>2.4599999999999999E-3</v>
      </c>
      <c r="H15" s="62">
        <f>_xll.qlIndexFixing(ON_12M_index,_xll.qlInterestRateIndexFixingDate(ON_12M_index,E15),,AllTriggers)</f>
        <v>-1.0862227978101486E-3</v>
      </c>
      <c r="I15" s="265">
        <f>G15-H15</f>
        <v>3.5462227978101486E-3</v>
      </c>
      <c r="J15" s="62">
        <f>_xll.qlTenorBasisValue($R$18,E15,Trigger)</f>
        <v>3.5513999637156574E-3</v>
      </c>
      <c r="K15" s="188">
        <f t="shared" si="4"/>
        <v>-5.1771659055088216E-2</v>
      </c>
      <c r="L15" s="234">
        <f t="shared" si="1"/>
        <v>-5.1771659055088216E-6</v>
      </c>
      <c r="M15" s="206">
        <f>_xll.qlDayCounterYearFraction("actual/365 (fixed)",SettlementDate,E15,,,Trigger)</f>
        <v>0.9178082191780822</v>
      </c>
      <c r="N15" s="184">
        <f>_xll.qlYieldTSDiscount(Discounting,E15,,AllTriggers)</f>
        <v>1.0012478676680545</v>
      </c>
      <c r="O15" s="237" t="b">
        <v>1</v>
      </c>
      <c r="Q15" s="277" t="s">
        <v>115</v>
      </c>
      <c r="R15" s="190">
        <v>7.3554362957564375E-4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42586</v>
      </c>
      <c r="F16" s="296">
        <f>_xll.qlInterestRateIndexMaturity(ON_12M_index,E16)</f>
        <v>42951</v>
      </c>
      <c r="G16" s="62">
        <f>_xll.qlQuoteValue(D16,AllTriggers)</f>
        <v>2.6099999999999999E-3</v>
      </c>
      <c r="H16" s="62">
        <f>_xll.qlIndexFixing(ON_12M_index,_xll.qlInterestRateIndexFixingDate(ON_12M_index,E16),,AllTriggers)</f>
        <v>-1.0175810394157259E-3</v>
      </c>
      <c r="I16" s="265">
        <f>G16-H16</f>
        <v>3.6275810394157258E-3</v>
      </c>
      <c r="J16" s="62">
        <f>_xll.qlTenorBasisValue($R$18,E16,Trigger)</f>
        <v>3.6208891853619389E-3</v>
      </c>
      <c r="K16" s="188">
        <f t="shared" si="4"/>
        <v>6.6918540537869692E-2</v>
      </c>
      <c r="L16" s="234">
        <f t="shared" si="1"/>
        <v>6.6918540537869685E-6</v>
      </c>
      <c r="M16" s="206">
        <f>_xll.qlDayCounterYearFraction("actual/365 (fixed)",SettlementDate,E16,,,Trigger)</f>
        <v>1.0027397260273974</v>
      </c>
      <c r="N16" s="184">
        <f>_xll.qlYieldTSDiscount(Discounting,E16,,AllTriggers)</f>
        <v>1.0013616993751251</v>
      </c>
      <c r="O16" s="237" t="b">
        <v>1</v>
      </c>
      <c r="Q16" s="277" t="s">
        <v>116</v>
      </c>
      <c r="R16" s="190">
        <v>-2.801432954435802E-4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42951</v>
      </c>
      <c r="F17" s="297">
        <f>_xll.qlInterestRateIndexMaturity(ON_12M_index,E17)</f>
        <v>43318</v>
      </c>
      <c r="G17" s="65">
        <f>_xll.qlQuoteValue(D17,AllTriggers)</f>
        <v>4.5499999999999994E-3</v>
      </c>
      <c r="H17" s="65">
        <f>_xll.qlIndexFixing(ON_12M_index,_xll.qlInterestRateIndexFixingDate(ON_12M_index,E17),,AllTriggers)</f>
        <v>5.0542057992966551E-4</v>
      </c>
      <c r="I17" s="260">
        <f>G17-H17</f>
        <v>4.044579420070334E-3</v>
      </c>
      <c r="J17" s="65">
        <f>_xll.qlTenorBasisValue($R$18,E17,Trigger)</f>
        <v>4.0446536987267835E-3</v>
      </c>
      <c r="K17" s="189">
        <f t="shared" ref="K17" si="7">L17*10000</f>
        <v>-7.4278656449558444E-4</v>
      </c>
      <c r="L17" s="235">
        <f t="shared" ref="L17" si="8">I17-J17</f>
        <v>-7.4278656449558444E-8</v>
      </c>
      <c r="M17" s="207">
        <f>_xll.qlDayCounterYearFraction("actual/365 (fixed)",SettlementDate,E17,,,Trigger)</f>
        <v>2.0027397260273974</v>
      </c>
      <c r="N17" s="185">
        <f>_xll.qlYieldTSDiscount(Discounting,E17,,AllTriggers)</f>
        <v>1.0023958853532562</v>
      </c>
      <c r="O17" s="238" t="b">
        <v>1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str">
        <f>_xll.qlPolynomialTenorBasis(,PROPER(Currency)&amp;IborType&amp;$F$1,Discounting,SettlementDate,TRUE,_xll.ohFilter(R13:R17,S13:S17),,Trigger)</f>
        <v>obj_005dd#0001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42220</v>
      </c>
      <c r="H20" s="269">
        <f>_xll.qlCalendarAdvance(Calendar,SettlementDate,F20,"Following",,Trigger)</f>
        <v>42221</v>
      </c>
      <c r="I20" s="287">
        <f>_xll.qlTenorBasisForwardRate2(TenorBasis12M,G20,H20,AllTriggers)</f>
        <v>1.7746419001518632E-3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42220</v>
      </c>
      <c r="H21" s="271">
        <f>_xll.qlCalendarAdvance(Calendar,SettlementDate,F21,"Following",,Trigger)</f>
        <v>42227</v>
      </c>
      <c r="I21" s="288">
        <f>_xll.qlTenorBasisForwardRate2(TenorBasis12M,G21,H21,AllTriggers)</f>
        <v>1.7690368578587063E-3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42220</v>
      </c>
      <c r="H22" s="271">
        <f>_xll.qlCalendarAdvance(Calendar,SettlementDate,F22,"Following",,Trigger)</f>
        <v>42234</v>
      </c>
      <c r="I22" s="288">
        <f>_xll.qlTenorBasisForwardRate2(TenorBasis12M,G22,H22,AllTriggers)</f>
        <v>1.7527403707560752E-3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42220</v>
      </c>
      <c r="H23" s="271">
        <f>_xll.qlCalendarAdvance(Calendar,SettlementDate,F23,"Following",,Trigger)</f>
        <v>42241</v>
      </c>
      <c r="I23" s="288">
        <f>_xll.qlTenorBasisForwardRate2(TenorBasis12M,G23,H23,AllTriggers)</f>
        <v>1.7467194064137357E-3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42220</v>
      </c>
      <c r="H24" s="273">
        <f>_xll.qlCalendarAdvance(Calendar,SettlementDate,F24,"mf",TRUE,Trigger)</f>
        <v>42251</v>
      </c>
      <c r="I24" s="289">
        <f>_xll.qlTenorBasisForwardRate2(TenorBasis12M,G24,H24,AllTriggers)</f>
        <v>1.7151090341704207E-3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42220</v>
      </c>
      <c r="H25" s="271">
        <f>_xll.qlCalendarAdvance(Calendar,SettlementDate,F25,"mf",TRUE,Trigger)</f>
        <v>42282</v>
      </c>
      <c r="I25" s="288">
        <f>_xll.qlTenorBasisForwardRate2(TenorBasis12M,G25,H25,AllTriggers)</f>
        <v>1.6867286557127827E-3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42220</v>
      </c>
      <c r="H26" s="271">
        <f>_xll.qlCalendarAdvance(Calendar,SettlementDate,F26,"mf",TRUE,Trigger)</f>
        <v>42312</v>
      </c>
      <c r="I26" s="288">
        <f>_xll.qlTenorBasisForwardRate2(TenorBasis12M,G26,H26,AllTriggers)</f>
        <v>1.6593014703074037E-3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42220</v>
      </c>
      <c r="H27" s="271">
        <f>_xll.qlCalendarAdvance(Calendar,SettlementDate,F27,"mf",TRUE,Trigger)</f>
        <v>42342</v>
      </c>
      <c r="I27" s="288">
        <f>_xll.qlTenorBasisForwardRate2(TenorBasis12M,G27,H27,AllTriggers)</f>
        <v>1.6463306427426131E-3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42220</v>
      </c>
      <c r="H28" s="271">
        <f>_xll.qlCalendarAdvance(Calendar,SettlementDate,F28,"mf",TRUE,Trigger)</f>
        <v>42373</v>
      </c>
      <c r="I28" s="288">
        <f>_xll.qlTenorBasisForwardRate2(TenorBasis12M,G28,H28,AllTriggers)</f>
        <v>1.6398699522782658E-3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42220</v>
      </c>
      <c r="H29" s="271">
        <f>_xll.qlCalendarAdvance(Calendar,SettlementDate,F29,"mf",TRUE,Trigger)</f>
        <v>42404</v>
      </c>
      <c r="I29" s="288">
        <f>_xll.qlTenorBasisForwardRate2(TenorBasis12M,G29,H29,AllTriggers)</f>
        <v>1.6147554144898741E-3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42220</v>
      </c>
      <c r="H30" s="270">
        <f>_xll.qlCalendarAdvance(Calendar,SettlementDate,F30,"mf",TRUE,Trigger)</f>
        <v>42433</v>
      </c>
      <c r="I30" s="288">
        <f>_xll.qlTenorBasisTenorForwardRate(TenorBasis12M,G30,AllTriggers)</f>
        <v>1.6558775702768074E-3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42220</v>
      </c>
      <c r="H31" s="270">
        <f>_xll.qlCalendarAdvance(Calendar,SettlementDate,F31,"mf",TRUE,Trigger)</f>
        <v>42464</v>
      </c>
      <c r="I31" s="288">
        <f>_xll.qlTenorBasisTenorForwardRate(TenorBasis12M,G31,AllTriggers)</f>
        <v>1.6558775702768074E-3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42220</v>
      </c>
      <c r="H32" s="270">
        <f>_xll.qlCalendarAdvance(Calendar,SettlementDate,F32,"mf",TRUE,Trigger)</f>
        <v>42494</v>
      </c>
      <c r="I32" s="288">
        <f>_xll.qlTenorBasisTenorForwardRate(TenorBasis12M,G32,AllTriggers)</f>
        <v>1.6558775702768074E-3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42220</v>
      </c>
      <c r="H33" s="270">
        <f>_xll.qlCalendarAdvance(Calendar,SettlementDate,F33,"mf",TRUE,Trigger)</f>
        <v>42527</v>
      </c>
      <c r="I33" s="288">
        <f>_xll.qlTenorBasisTenorForwardRate(TenorBasis12M,G33,AllTriggers)</f>
        <v>1.6558775702768074E-3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42220</v>
      </c>
      <c r="H34" s="270">
        <f>_xll.qlCalendarAdvance(Calendar,SettlementDate,F34,"mf",TRUE,Trigger)</f>
        <v>42555</v>
      </c>
      <c r="I34" s="288">
        <f>_xll.qlTenorBasisTenorForwardRate(TenorBasis12M,G34,AllTriggers)</f>
        <v>1.6558775702768074E-3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42220</v>
      </c>
      <c r="H35" s="294">
        <f>_xll.qlCalendarAdvance(Calendar,SettlementDate,F35,"mf",TRUE,Trigger)</f>
        <v>42586</v>
      </c>
      <c r="I35" s="291">
        <f>_xll.qlTenorBasisTenorForwardRate(TenorBasis12M,G35,AllTriggers)</f>
        <v>1.6558775702768074E-3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42216</v>
      </c>
      <c r="C3" s="74">
        <f>_xll.qlCalendarAdvance(Calendar,SettlementDate,A3&amp;"M","mf")</f>
        <v>42220</v>
      </c>
      <c r="D3" s="74">
        <f>_xll.qlInterestRateIndexMaturity(ON_12M_index,C3)</f>
        <v>42586</v>
      </c>
      <c r="E3" s="75">
        <f>_xll.qlIndexFixing(ON_12M_index,B3,,AllTriggers)</f>
        <v>-1.3263680317009256E-3</v>
      </c>
      <c r="F3" s="76">
        <f>_xll.qlInterpolationInterpolate(BasisInterpolator,C3,TRUE,E3)</f>
        <v>2.9367353184576398E-3</v>
      </c>
      <c r="G3" s="75">
        <f t="shared" ref="G3:G27" si="0">E3+F3</f>
        <v>1.6103672867567142E-3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42249</v>
      </c>
      <c r="C4" s="78">
        <f>_xll.qlCalendarAdvance(Calendar,SettlementDate,A4&amp;"M","mf")</f>
        <v>42251</v>
      </c>
      <c r="D4" s="78">
        <f>_xll.qlInterestRateIndexMaturity(ON_12M_index,C4)</f>
        <v>42618</v>
      </c>
      <c r="E4" s="79">
        <f>_xll.qlIndexFixing(ON_12M_index,B4,,AllTriggers)</f>
        <v>-1.3314858021797871E-3</v>
      </c>
      <c r="F4" s="80">
        <f>_xll.qlInterpolationInterpolate(BasisInterpolator,C4,TRUE,E4)</f>
        <v>2.9814858021797869E-3</v>
      </c>
      <c r="G4" s="79">
        <f t="shared" si="0"/>
        <v>1.6499999999999998E-3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42278</v>
      </c>
      <c r="C5" s="78">
        <f>_xll.qlCalendarAdvance(Calendar,SettlementDate,A5&amp;"M","mf")</f>
        <v>42282</v>
      </c>
      <c r="D5" s="78">
        <f>_xll.qlInterestRateIndexMaturity(ON_12M_index,C5)</f>
        <v>42648</v>
      </c>
      <c r="E5" s="79">
        <f>_xll.qlIndexFixing(ON_12M_index,B5,,AllTriggers)</f>
        <v>-1.336236285901934E-3</v>
      </c>
      <c r="F5" s="80">
        <f>_xll.qlInterpolationInterpolate(BasisInterpolator,C5,TRUE,E5)</f>
        <v>3.0262362859019339E-3</v>
      </c>
      <c r="G5" s="79">
        <f t="shared" si="0"/>
        <v>1.6899999999999999E-3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42310</v>
      </c>
      <c r="C6" s="78">
        <f>_xll.qlCalendarAdvance(Calendar,SettlementDate,A6&amp;"M","mf")</f>
        <v>42312</v>
      </c>
      <c r="D6" s="78">
        <f>_xll.qlInterestRateIndexMaturity(ON_12M_index,C6)</f>
        <v>42678</v>
      </c>
      <c r="E6" s="79">
        <f>_xll.qlIndexFixing(ON_12M_index,B6,,AllTriggers)</f>
        <v>-1.3414787346970071E-3</v>
      </c>
      <c r="F6" s="80">
        <f>_xll.qlInterpolationInterpolate(BasisInterpolator,C6,TRUE,E6)</f>
        <v>3.0714787346970071E-3</v>
      </c>
      <c r="G6" s="79">
        <f t="shared" si="0"/>
        <v>1.73E-3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42340</v>
      </c>
      <c r="C7" s="78">
        <f>_xll.qlCalendarAdvance(Calendar,SettlementDate,A7&amp;"M","mf")</f>
        <v>42342</v>
      </c>
      <c r="D7" s="78">
        <f>_xll.qlInterestRateIndexMaturity(ON_12M_index,C7)</f>
        <v>42709</v>
      </c>
      <c r="E7" s="79">
        <f>_xll.qlIndexFixing(ON_12M_index,B7,,AllTriggers)</f>
        <v>-1.3521645919270316E-3</v>
      </c>
      <c r="F7" s="80">
        <f>_xll.qlInterpolationInterpolate(BasisInterpolator,C7,TRUE,E7)</f>
        <v>3.1321645919270315E-3</v>
      </c>
      <c r="G7" s="79">
        <f t="shared" si="0"/>
        <v>1.7799999999999999E-3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42368</v>
      </c>
      <c r="C8" s="78">
        <f>_xll.qlCalendarAdvance(Calendar,SettlementDate,A8&amp;"M","mf")</f>
        <v>42373</v>
      </c>
      <c r="D8" s="78">
        <f>_xll.qlInterestRateIndexMaturity(ON_12M_index,C8)</f>
        <v>42739</v>
      </c>
      <c r="E8" s="79">
        <f>_xll.qlIndexFixing(ON_12M_index,B8,,AllTriggers)</f>
        <v>-1.3289395524029857E-3</v>
      </c>
      <c r="F8" s="80">
        <f>_xll.qlInterpolationInterpolate(BasisInterpolator,C8,TRUE,E8)</f>
        <v>3.1689395524029857E-3</v>
      </c>
      <c r="G8" s="79">
        <f t="shared" si="0"/>
        <v>1.8400000000000001E-3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42402</v>
      </c>
      <c r="C9" s="78">
        <f>_xll.qlCalendarAdvance(Calendar,SettlementDate,A9&amp;"M","mf")</f>
        <v>42404</v>
      </c>
      <c r="D9" s="78">
        <f>_xll.qlInterestRateIndexMaturity(ON_12M_index,C9)</f>
        <v>42772</v>
      </c>
      <c r="E9" s="79">
        <f>_xll.qlIndexFixing(ON_12M_index,B9,,AllTriggers)</f>
        <v>-1.3179099178973728E-3</v>
      </c>
      <c r="F9" s="80">
        <f>_xll.qlInterpolationInterpolate(BasisInterpolator,C9,TRUE,E9)</f>
        <v>3.2279099178973729E-3</v>
      </c>
      <c r="G9" s="79">
        <f t="shared" si="0"/>
        <v>1.91E-3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42431</v>
      </c>
      <c r="C10" s="78">
        <f>_xll.qlCalendarAdvance(Calendar,SettlementDate,A10&amp;"M","mf")</f>
        <v>42433</v>
      </c>
      <c r="D10" s="78">
        <f>_xll.qlInterestRateIndexMaturity(ON_12M_index,C10)</f>
        <v>42800</v>
      </c>
      <c r="E10" s="79">
        <f>_xll.qlIndexFixing(ON_12M_index,B10,,AllTriggers)</f>
        <v>-1.2928506514844238E-3</v>
      </c>
      <c r="F10" s="80">
        <f>_xll.qlInterpolationInterpolate(BasisInterpolator,C10,TRUE,E10)</f>
        <v>3.2728506514844236E-3</v>
      </c>
      <c r="G10" s="79">
        <f t="shared" si="0"/>
        <v>1.98E-3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42460</v>
      </c>
      <c r="C11" s="78">
        <f>_xll.qlCalendarAdvance(Calendar,SettlementDate,A11&amp;"M","mf")</f>
        <v>42464</v>
      </c>
      <c r="D11" s="78">
        <f>_xll.qlInterestRateIndexMaturity(ON_12M_index,C11)</f>
        <v>42829</v>
      </c>
      <c r="E11" s="79">
        <f>_xll.qlIndexFixing(ON_12M_index,B11,,AllTriggers)</f>
        <v>-1.2559174984759158E-3</v>
      </c>
      <c r="F11" s="80">
        <f>_xll.qlInterpolationInterpolate(BasisInterpolator,C11,TRUE,E11)</f>
        <v>3.3459174984759154E-3</v>
      </c>
      <c r="G11" s="79">
        <f t="shared" si="0"/>
        <v>2.0899999999999998E-3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42492</v>
      </c>
      <c r="C12" s="78">
        <f>_xll.qlCalendarAdvance(Calendar,SettlementDate,A12&amp;"M","mf")</f>
        <v>42494</v>
      </c>
      <c r="D12" s="78">
        <f>_xll.qlInterestRateIndexMaturity(ON_12M_index,C12)</f>
        <v>42859</v>
      </c>
      <c r="E12" s="79">
        <f>_xll.qlIndexFixing(ON_12M_index,B12,,AllTriggers)</f>
        <v>-1.2078525603033481E-3</v>
      </c>
      <c r="F12" s="80">
        <f>_xll.qlInterpolationInterpolate(BasisInterpolator,C12,TRUE,E12)</f>
        <v>3.4178525603033483E-3</v>
      </c>
      <c r="G12" s="79">
        <f t="shared" si="0"/>
        <v>2.2100000000000002E-3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42523</v>
      </c>
      <c r="C13" s="78">
        <f>_xll.qlCalendarAdvance(Calendar,SettlementDate,A13&amp;"M","mf")</f>
        <v>42527</v>
      </c>
      <c r="D13" s="78">
        <f>_xll.qlInterestRateIndexMaturity(ON_12M_index,C13)</f>
        <v>42892</v>
      </c>
      <c r="E13" s="79">
        <f>_xll.qlIndexFixing(ON_12M_index,B13,,AllTriggers)</f>
        <v>-1.1442997436924031E-3</v>
      </c>
      <c r="F13" s="80">
        <f>_xll.qlInterpolationInterpolate(BasisInterpolator,C13,TRUE,E13)</f>
        <v>3.4842997436924034E-3</v>
      </c>
      <c r="G13" s="79">
        <f t="shared" si="0"/>
        <v>2.3400000000000001E-3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42551</v>
      </c>
      <c r="C14" s="82">
        <f>_xll.qlCalendarAdvance(Calendar,SettlementDate,A14&amp;"M","mf")</f>
        <v>42555</v>
      </c>
      <c r="D14" s="82">
        <f>_xll.qlInterestRateIndexMaturity(ON_12M_index,C14)</f>
        <v>42920</v>
      </c>
      <c r="E14" s="83">
        <f>_xll.qlIndexFixing(ON_12M_index,B14,,AllTriggers)</f>
        <v>-1.0862227978101486E-3</v>
      </c>
      <c r="F14" s="84">
        <f>_xll.qlInterpolationInterpolate(BasisInterpolator,C14,TRUE,E14)</f>
        <v>3.5462227978101486E-3</v>
      </c>
      <c r="G14" s="83">
        <f t="shared" si="0"/>
        <v>2.4599999999999999E-3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42584</v>
      </c>
      <c r="C15" s="74">
        <f>_xll.qlCalendarAdvance(Calendar,SettlementDate,A15&amp;"M","mf")</f>
        <v>42586</v>
      </c>
      <c r="D15" s="74">
        <f>_xll.qlInterestRateIndexMaturity(ON_12M_index,C15)</f>
        <v>42951</v>
      </c>
      <c r="E15" s="75">
        <f>_xll.qlIndexFixing(ON_12M_index,B15,,AllTriggers)</f>
        <v>-1.0175810394157259E-3</v>
      </c>
      <c r="F15" s="76">
        <f>_xll.qlInterpolationInterpolate(BasisInterpolator,C15,TRUE,E15)</f>
        <v>3.6275810394157258E-3</v>
      </c>
      <c r="G15" s="75">
        <f t="shared" si="0"/>
        <v>2.6099999999999999E-3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42614</v>
      </c>
      <c r="C16" s="78">
        <f>_xll.qlCalendarAdvance(Calendar,SettlementDate,A16&amp;"M","mf")</f>
        <v>42618</v>
      </c>
      <c r="D16" s="78">
        <f>_xll.qlInterestRateIndexMaturity(ON_12M_index,C16)</f>
        <v>42983</v>
      </c>
      <c r="E16" s="79">
        <f>_xll.qlIndexFixing(ON_12M_index,B16,,AllTriggers)</f>
        <v>-9.3794127022487673E-4</v>
      </c>
      <c r="F16" s="80">
        <f>_xll.qlInterpolationInterpolate(BasisInterpolator,C16,TRUE,E16)</f>
        <v>3.7051702120917702E-3</v>
      </c>
      <c r="G16" s="79">
        <f t="shared" si="0"/>
        <v>2.7672289418668936E-3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42643</v>
      </c>
      <c r="C17" s="78">
        <f>_xll.qlCalendarAdvance(Calendar,SettlementDate,A17&amp;"M","mf")</f>
        <v>42647</v>
      </c>
      <c r="D17" s="78">
        <f>_xll.qlInterestRateIndexMaturity(ON_12M_index,C17)</f>
        <v>43012</v>
      </c>
      <c r="E17" s="79">
        <f>_xll.qlIndexFixing(ON_12M_index,B17,,AllTriggers)</f>
        <v>-8.5485004812392259E-4</v>
      </c>
      <c r="F17" s="80">
        <f>_xll.qlInterpolationInterpolate(BasisInterpolator,C17,TRUE,E17)</f>
        <v>3.7657073604409046E-3</v>
      </c>
      <c r="G17" s="79">
        <f t="shared" si="0"/>
        <v>2.9108573123169819E-3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42676</v>
      </c>
      <c r="C18" s="78">
        <f>_xll.qlCalendarAdvance(Calendar,SettlementDate,A18&amp;"M","mf")</f>
        <v>42678</v>
      </c>
      <c r="D18" s="78">
        <f>_xll.qlInterestRateIndexMaturity(ON_12M_index,C18)</f>
        <v>43045</v>
      </c>
      <c r="E18" s="79">
        <f>_xll.qlIndexFixing(ON_12M_index,B18,,AllTriggers)</f>
        <v>-7.473303690476898E-4</v>
      </c>
      <c r="F18" s="80">
        <f>_xll.qlInterpolationInterpolate(BasisInterpolator,C18,TRUE,E18)</f>
        <v>3.8210824156184198E-3</v>
      </c>
      <c r="G18" s="79">
        <f t="shared" si="0"/>
        <v>3.0737520465707298E-3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42705</v>
      </c>
      <c r="C19" s="78">
        <f>_xll.qlCalendarAdvance(Calendar,SettlementDate,A19&amp;"M","mf")</f>
        <v>42709</v>
      </c>
      <c r="D19" s="78">
        <f>_xll.qlInterestRateIndexMaturity(ON_12M_index,C19)</f>
        <v>43074</v>
      </c>
      <c r="E19" s="79">
        <f>_xll.qlIndexFixing(ON_12M_index,B19,,AllTriggers)</f>
        <v>-6.3059461072582869E-4</v>
      </c>
      <c r="F19" s="80">
        <f>_xll.qlInterpolationInterpolate(BasisInterpolator,C19,TRUE,E19)</f>
        <v>3.8677739967004883E-3</v>
      </c>
      <c r="G19" s="79">
        <f t="shared" si="0"/>
        <v>3.2371793859746595E-3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42737</v>
      </c>
      <c r="C20" s="78">
        <f>_xll.qlCalendarAdvance(Calendar,SettlementDate,A20&amp;"M","mf")</f>
        <v>42739</v>
      </c>
      <c r="D20" s="78">
        <f>_xll.qlInterestRateIndexMaturity(ON_12M_index,C20)</f>
        <v>43104</v>
      </c>
      <c r="E20" s="79">
        <f>_xll.qlIndexFixing(ON_12M_index,B20,,AllTriggers)</f>
        <v>-5.3582887130750869E-4</v>
      </c>
      <c r="F20" s="80">
        <f>_xll.qlInterpolationInterpolate(BasisInterpolator,C20,TRUE,E20)</f>
        <v>3.9056203159435403E-3</v>
      </c>
      <c r="G20" s="79">
        <f t="shared" si="0"/>
        <v>3.3697914446360316E-3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42768</v>
      </c>
      <c r="C21" s="78">
        <f>_xll.qlCalendarAdvance(Calendar,SettlementDate,A21&amp;"M","mf")</f>
        <v>42772</v>
      </c>
      <c r="D21" s="78">
        <f>_xll.qlInterestRateIndexMaturity(ON_12M_index,C21)</f>
        <v>43137</v>
      </c>
      <c r="E21" s="79">
        <f>_xll.qlIndexFixing(ON_12M_index,B21,,AllTriggers)</f>
        <v>-3.8920967698637333E-4</v>
      </c>
      <c r="F21" s="80">
        <f>_xll.qlInterpolationInterpolate(BasisInterpolator,C21,TRUE,E21)</f>
        <v>3.9399916381034619E-3</v>
      </c>
      <c r="G21" s="79">
        <f t="shared" si="0"/>
        <v>3.5507819611170885E-3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42796</v>
      </c>
      <c r="C22" s="78">
        <f>_xll.qlCalendarAdvance(Calendar,SettlementDate,A22&amp;"M","mf")</f>
        <v>42800</v>
      </c>
      <c r="D22" s="78">
        <f>_xll.qlInterestRateIndexMaturity(ON_12M_index,C22)</f>
        <v>43165</v>
      </c>
      <c r="E22" s="79">
        <f>_xll.qlIndexFixing(ON_12M_index,B22,,AllTriggers)</f>
        <v>-2.6469346986673534E-4</v>
      </c>
      <c r="F22" s="80">
        <f>_xll.qlInterpolationInterpolate(BasisInterpolator,C22,TRUE,E22)</f>
        <v>3.9640484484857828E-3</v>
      </c>
      <c r="G22" s="79">
        <f t="shared" si="0"/>
        <v>3.6993549786190475E-3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42825</v>
      </c>
      <c r="C23" s="78">
        <f>_xll.qlCalendarAdvance(Calendar,SettlementDate,A23&amp;"M","mf")</f>
        <v>42829</v>
      </c>
      <c r="D23" s="78">
        <f>_xll.qlInterestRateIndexMaturity(ON_12M_index,C23)</f>
        <v>43194</v>
      </c>
      <c r="E23" s="79">
        <f>_xll.qlIndexFixing(ON_12M_index,B23,,AllTriggers)</f>
        <v>-1.3380369012246459E-4</v>
      </c>
      <c r="F23" s="80">
        <f>_xll.qlInterpolationInterpolate(BasisInterpolator,C23,TRUE,E23)</f>
        <v>3.9848428147712962E-3</v>
      </c>
      <c r="G23" s="79">
        <f t="shared" si="0"/>
        <v>3.8510391246488317E-3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42857</v>
      </c>
      <c r="C24" s="78">
        <f>_xll.qlCalendarAdvance(Calendar,SettlementDate,A24&amp;"M","mf")</f>
        <v>42859</v>
      </c>
      <c r="D24" s="78">
        <f>_xll.qlInterestRateIndexMaturity(ON_12M_index,C24)</f>
        <v>43224</v>
      </c>
      <c r="E24" s="79">
        <f>_xll.qlIndexFixing(ON_12M_index,B24,,AllTriggers)</f>
        <v>7.4526138776943695E-6</v>
      </c>
      <c r="F24" s="80">
        <f>_xll.qlInterpolationInterpolate(BasisInterpolator,C24,TRUE,E24)</f>
        <v>4.0027903540263829E-3</v>
      </c>
      <c r="G24" s="79">
        <f t="shared" si="0"/>
        <v>4.010242967904077E-3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42887</v>
      </c>
      <c r="C25" s="78">
        <f>_xll.qlCalendarAdvance(Calendar,SettlementDate,A25&amp;"M","mf")</f>
        <v>42891</v>
      </c>
      <c r="D25" s="78">
        <f>_xll.qlInterestRateIndexMaturity(ON_12M_index,C25)</f>
        <v>43256</v>
      </c>
      <c r="E25" s="79">
        <f>_xll.qlIndexFixing(ON_12M_index,B25,,AllTriggers)</f>
        <v>1.6826970789989872E-4</v>
      </c>
      <c r="F25" s="80">
        <f>_xll.qlInterpolationInterpolate(BasisInterpolator,C25,TRUE,E25)</f>
        <v>4.0189355892944791E-3</v>
      </c>
      <c r="G25" s="79">
        <f t="shared" si="0"/>
        <v>4.1872052971943779E-3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42916</v>
      </c>
      <c r="C26" s="82">
        <f>_xll.qlCalendarAdvance(Calendar,SettlementDate,A26&amp;"M","mf")</f>
        <v>42920</v>
      </c>
      <c r="D26" s="82">
        <f>_xll.qlInterestRateIndexMaturity(ON_12M_index,C26)</f>
        <v>43285</v>
      </c>
      <c r="E26" s="83">
        <f>_xll.qlIndexFixing(ON_12M_index,B26,,AllTriggers)</f>
        <v>3.2345593730412765E-4</v>
      </c>
      <c r="F26" s="84">
        <f>_xll.qlInterpolationInterpolate(BasisInterpolator,C26,TRUE,E26)</f>
        <v>4.0317813991672677E-3</v>
      </c>
      <c r="G26" s="83">
        <f t="shared" si="0"/>
        <v>4.3552373364713955E-3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42949</v>
      </c>
      <c r="C27" s="340">
        <f>_xll.qlCalendarAdvance(Calendar,SettlementDate,A27&amp;"M","mf")</f>
        <v>42951</v>
      </c>
      <c r="D27" s="340">
        <f>_xll.qlInterestRateIndexMaturity(ON_12M_index,C27)</f>
        <v>43318</v>
      </c>
      <c r="E27" s="341">
        <f>_xll.qlIndexFixing(ON_12M_index,B27,,AllTriggers)</f>
        <v>5.0542057992966551E-4</v>
      </c>
      <c r="F27" s="342">
        <f>_xll.qlInterpolationInterpolate(BasisInterpolator,C27,TRUE,E27)</f>
        <v>4.044579420070334E-3</v>
      </c>
      <c r="G27" s="341">
        <f t="shared" si="0"/>
        <v>4.5499999999999994E-3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workbookViewId="0">
      <selection activeCell="L3" sqref="L3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>_xll.ohTrigger(M3:M7)</f>
        <v>2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EURSND_SYNTH1M_Quote#0001</v>
      </c>
      <c r="E3" s="163" t="str">
        <f>_xll.ohRangeRetrieveError(D3)</f>
        <v/>
      </c>
      <c r="F3" s="14"/>
      <c r="G3" s="138" t="s">
        <v>55</v>
      </c>
      <c r="H3" s="139">
        <f>'1MSynthDepo'!V11</f>
        <v>-6.1397711267119348E-4</v>
      </c>
      <c r="I3" s="15" t="s">
        <v>56</v>
      </c>
      <c r="J3" s="132">
        <v>-6.5251058204651713E-4</v>
      </c>
      <c r="K3" s="14"/>
      <c r="L3" s="120">
        <f t="array" ref="L3:L63">QuoteStatic</f>
        <v>-6.5251058204651713E-4</v>
      </c>
      <c r="M3" s="121" t="e">
        <f>_xll.qlSimpleQuoteSetValue(D3,ROUND($L3,6),EvaluationDate)</f>
        <v>#N/A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EURSWD_SYNTH1M_Quote#0001</v>
      </c>
      <c r="E4" s="164" t="str">
        <f>_xll.ohRangeRetrieveError(D4)</f>
        <v/>
      </c>
      <c r="F4" s="14"/>
      <c r="G4" s="138" t="s">
        <v>57</v>
      </c>
      <c r="H4" s="139">
        <f>'1MSynthDepo'!V12</f>
        <v>-6.4516860536846716E-4</v>
      </c>
      <c r="I4" s="15" t="s">
        <v>56</v>
      </c>
      <c r="J4" s="132">
        <v>-6.7529624861149633E-4</v>
      </c>
      <c r="K4" s="14"/>
      <c r="L4" s="120">
        <v>-6.7529624861149633E-4</v>
      </c>
      <c r="M4" s="121" t="e">
        <f>_xll.qlSimpleQuoteSetValue(D4,ROUND($L4,6),EvaluationDate)</f>
        <v>#N/A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EUR2WD_SYNTH1M_Quote#0001</v>
      </c>
      <c r="E5" s="164" t="str">
        <f>_xll.ohRangeRetrieveError(D5)</f>
        <v/>
      </c>
      <c r="F5" s="14"/>
      <c r="G5" s="138" t="s">
        <v>58</v>
      </c>
      <c r="H5" s="139">
        <f>'1MSynthDepo'!V13</f>
        <v>-6.8501230352069342E-4</v>
      </c>
      <c r="I5" s="15" t="s">
        <v>56</v>
      </c>
      <c r="J5" s="132">
        <v>-7.068308441948723E-4</v>
      </c>
      <c r="K5" s="14"/>
      <c r="L5" s="120">
        <v>-7.068308441948723E-4</v>
      </c>
      <c r="M5" s="121" t="e">
        <f>_xll.qlSimpleQuoteSetValue(D5,ROUND($L5,6),EvaluationDate)</f>
        <v>#N/A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EUR3WD_SYNTH1M_Quote#0001</v>
      </c>
      <c r="E6" s="164" t="str">
        <f>_xll.ohRangeRetrieveError(D6)</f>
        <v/>
      </c>
      <c r="F6" s="14"/>
      <c r="G6" s="140" t="s">
        <v>59</v>
      </c>
      <c r="H6" s="139">
        <f>'1MSynthDepo'!V14</f>
        <v>-7.0848103908513081E-4</v>
      </c>
      <c r="I6" s="15" t="s">
        <v>56</v>
      </c>
      <c r="J6" s="133">
        <v>-7.2346852341301617E-4</v>
      </c>
      <c r="K6" s="14"/>
      <c r="L6" s="122">
        <v>-7.2346852341301617E-4</v>
      </c>
      <c r="M6" s="123" t="e">
        <f>_xll.qlSimpleQuoteSetValue(D6,ROUND($L6,6),EvaluationDate)</f>
        <v>#N/A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EUR1MD_SYNTH1M_Quote#0001</v>
      </c>
      <c r="E7" s="165" t="str">
        <f>_xll.ohRangeRetrieveError(D7)</f>
        <v/>
      </c>
      <c r="F7" s="14"/>
      <c r="G7" s="141" t="s">
        <v>60</v>
      </c>
      <c r="H7" s="142">
        <f>'1MSynthDepo'!V15</f>
        <v>-7.5586168698523143E-4</v>
      </c>
      <c r="I7" s="15" t="s">
        <v>56</v>
      </c>
      <c r="J7" s="134">
        <v>-7.5602720849914584E-4</v>
      </c>
      <c r="K7" s="14"/>
      <c r="L7" s="124">
        <v>-7.5602720849914584E-4</v>
      </c>
      <c r="M7" s="125" t="e">
        <f>_xll.qlSimpleQuoteSetValue(D7,ROUND($L7,6),EvaluationDate)</f>
        <v>#N/A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EURSND_SYNTH3M_Quote#0001</v>
      </c>
      <c r="E8" s="163"/>
      <c r="F8" s="16"/>
      <c r="G8" s="143" t="s">
        <v>55</v>
      </c>
      <c r="H8" s="144">
        <f>'3MSynthDepo'!I25</f>
        <v>-1.1703583778110982E-4</v>
      </c>
      <c r="I8" s="17"/>
      <c r="J8" s="132">
        <v>-2.0569278340598629E-4</v>
      </c>
      <c r="K8" s="16"/>
      <c r="L8" s="120">
        <v>-2.0569278340598629E-4</v>
      </c>
      <c r="M8" s="121" t="e">
        <f>_xll.qlSimpleQuoteSetValue(D8,ROUND($L8,6),EvaluationDate)</f>
        <v>#N/A</v>
      </c>
      <c r="N8" s="108">
        <f>_xll.ohTrigger(M8:M14)</f>
        <v>2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EURSWD_SYNTH3M_Quote#0001</v>
      </c>
      <c r="E9" s="164"/>
      <c r="F9" s="16"/>
      <c r="G9" s="145" t="s">
        <v>57</v>
      </c>
      <c r="H9" s="139">
        <f>'3MSynthDepo'!I26</f>
        <v>-1.1926385656771795E-4</v>
      </c>
      <c r="I9" s="17"/>
      <c r="J9" s="132">
        <v>-2.0463436884427769E-4</v>
      </c>
      <c r="K9" s="16"/>
      <c r="L9" s="120">
        <v>-2.0463436884427769E-4</v>
      </c>
      <c r="M9" s="121" t="e">
        <f>_xll.qlSimpleQuoteSetValue(D9,ROUND($L9,6),EvaluationDate)</f>
        <v>#N/A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EUR2WD_SYNTH3M_Quote#0001</v>
      </c>
      <c r="E10" s="164"/>
      <c r="F10" s="16"/>
      <c r="G10" s="145" t="s">
        <v>58</v>
      </c>
      <c r="H10" s="139">
        <f>'3MSynthDepo'!I27</f>
        <v>-1.3174198394765618E-4</v>
      </c>
      <c r="I10" s="17"/>
      <c r="J10" s="132">
        <v>-2.1337748172082068E-4</v>
      </c>
      <c r="K10" s="16"/>
      <c r="L10" s="120">
        <v>-2.1337748172082068E-4</v>
      </c>
      <c r="M10" s="121" t="e">
        <f>_xll.qlSimpleQuoteSetValue(D10,ROUND($L10,6),EvaluationDate)</f>
        <v>#N/A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EUR3WD_SYNTH3M_Quote#0001</v>
      </c>
      <c r="E11" s="164"/>
      <c r="F11" s="16"/>
      <c r="G11" s="146" t="s">
        <v>59</v>
      </c>
      <c r="H11" s="147">
        <f>'3MSynthDepo'!I28</f>
        <v>-1.3407538457370954E-4</v>
      </c>
      <c r="I11" s="17"/>
      <c r="J11" s="133">
        <v>-2.1208159080338921E-4</v>
      </c>
      <c r="K11" s="16"/>
      <c r="L11" s="122">
        <v>-2.1208159080338921E-4</v>
      </c>
      <c r="M11" s="123" t="e">
        <f>_xll.qlSimpleQuoteSetValue(D11,ROUND($L11,6),EvaluationDate)</f>
        <v>#N/A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EUR1MD_SYNTH3M_Quote#0001</v>
      </c>
      <c r="E12" s="164"/>
      <c r="F12" s="16"/>
      <c r="G12" s="145" t="s">
        <v>60</v>
      </c>
      <c r="H12" s="139">
        <f>'3MSynthDepo'!I29</f>
        <v>-1.6063775199703565E-4</v>
      </c>
      <c r="I12" s="17"/>
      <c r="J12" s="132">
        <v>-2.2629335174491921E-4</v>
      </c>
      <c r="K12" s="16"/>
      <c r="L12" s="120">
        <v>-2.2629335174491921E-4</v>
      </c>
      <c r="M12" s="121" t="e">
        <f>_xll.qlSimpleQuoteSetValue(D12,ROUND($L12,6),EvaluationDate)</f>
        <v>#N/A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EUR2MD_SYNTH3M_Quote#0001</v>
      </c>
      <c r="E13" s="164"/>
      <c r="F13" s="16"/>
      <c r="G13" s="145" t="s">
        <v>61</v>
      </c>
      <c r="H13" s="139">
        <f>'3MSynthDepo'!I30</f>
        <v>-1.7501026504576723E-4</v>
      </c>
      <c r="I13" s="17"/>
      <c r="J13" s="132">
        <v>-2.3675874757099076E-4</v>
      </c>
      <c r="K13" s="16"/>
      <c r="L13" s="120">
        <v>-2.3675874757099076E-4</v>
      </c>
      <c r="M13" s="121" t="e">
        <f>_xll.qlSimpleQuoteSetValue(D13,ROUND($L13,6),EvaluationDate)</f>
        <v>#N/A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EUR3MD_SYNTH3M_Quote#0001</v>
      </c>
      <c r="E14" s="165"/>
      <c r="F14" s="16"/>
      <c r="G14" s="146" t="s">
        <v>62</v>
      </c>
      <c r="H14" s="147">
        <f>'3MSynthDepo'!I31</f>
        <v>-1.9115103165497386E-4</v>
      </c>
      <c r="I14" s="17"/>
      <c r="J14" s="133">
        <v>-2.4418495786295561E-4</v>
      </c>
      <c r="K14" s="16"/>
      <c r="L14" s="122">
        <v>-2.4418495786295561E-4</v>
      </c>
      <c r="M14" s="123" t="e">
        <f>_xll.qlSimpleQuoteSetValue(D14,ROUND($L14,6),EvaluationDate)</f>
        <v>#N/A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EURSND_SYNTH6M_Quote#0001</v>
      </c>
      <c r="E15" s="163" t="str">
        <f>_xll.ohRangeRetrieveError(D15)</f>
        <v/>
      </c>
      <c r="F15" s="16"/>
      <c r="G15" s="143" t="s">
        <v>55</v>
      </c>
      <c r="H15" s="144">
        <f>'6MSynthDepo'!I25</f>
        <v>4.0287569328611994E-4</v>
      </c>
      <c r="I15" s="17"/>
      <c r="J15" s="132">
        <v>4.6795697852708429E-4</v>
      </c>
      <c r="K15" s="16"/>
      <c r="L15" s="120">
        <v>4.6795697852708429E-4</v>
      </c>
      <c r="M15" s="121" t="e">
        <f>_xll.qlSimpleQuoteSetValue(D15,ROUND($L15,6),EvaluationDate)</f>
        <v>#N/A</v>
      </c>
      <c r="N15" s="110">
        <f>_xll.ohTrigger(M15:M24)</f>
        <v>2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EURSWD_SYNTH6M_Quote#0001</v>
      </c>
      <c r="E16" s="164" t="str">
        <f>_xll.ohRangeRetrieveError(D16)</f>
        <v/>
      </c>
      <c r="F16" s="16"/>
      <c r="G16" s="145" t="s">
        <v>57</v>
      </c>
      <c r="H16" s="139">
        <f>'6MSynthDepo'!I26</f>
        <v>4.0505215684407043E-4</v>
      </c>
      <c r="I16" s="17"/>
      <c r="J16" s="132">
        <v>4.6808350997526053E-4</v>
      </c>
      <c r="K16" s="16"/>
      <c r="L16" s="120">
        <v>4.6808350997526053E-4</v>
      </c>
      <c r="M16" s="121" t="e">
        <f>_xll.qlSimpleQuoteSetValue(D16,ROUND($L16,6),EvaluationDate)</f>
        <v>#N/A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EUR2WD_SYNTH6M_Quote#0001</v>
      </c>
      <c r="E17" s="164" t="str">
        <f>_xll.ohRangeRetrieveError(D17)</f>
        <v/>
      </c>
      <c r="F17" s="10"/>
      <c r="G17" s="145" t="s">
        <v>58</v>
      </c>
      <c r="H17" s="139">
        <f>'6MSynthDepo'!I27</f>
        <v>3.9764547765410081E-4</v>
      </c>
      <c r="I17" s="17"/>
      <c r="J17" s="132">
        <v>4.5834244062411704E-4</v>
      </c>
      <c r="K17" s="16"/>
      <c r="L17" s="120">
        <v>4.5834244062411704E-4</v>
      </c>
      <c r="M17" s="121" t="e">
        <f>_xll.qlSimpleQuoteSetValue(D17,ROUND($L17,6),EvaluationDate)</f>
        <v>#N/A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EUR3WD_SYNTH6M_Quote#0001</v>
      </c>
      <c r="E18" s="164" t="str">
        <f>_xll.ohRangeRetrieveError(D18)</f>
        <v/>
      </c>
      <c r="F18" s="10"/>
      <c r="G18" s="145" t="s">
        <v>59</v>
      </c>
      <c r="H18" s="139">
        <f>'6MSynthDepo'!I28</f>
        <v>4.0031191423420661E-4</v>
      </c>
      <c r="I18" s="17"/>
      <c r="J18" s="132">
        <v>4.587353737330245E-4</v>
      </c>
      <c r="K18" s="16"/>
      <c r="L18" s="120">
        <v>4.587353737330245E-4</v>
      </c>
      <c r="M18" s="121" t="e">
        <f>_xll.qlSimpleQuoteSetValue(D18,ROUND($L18,6),EvaluationDate)</f>
        <v>#N/A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EUR1MD_SYNTH6M_Quote#0001</v>
      </c>
      <c r="E19" s="164" t="str">
        <f>_xll.ohRangeRetrieveError(D19)</f>
        <v/>
      </c>
      <c r="F19" s="10"/>
      <c r="G19" s="143" t="s">
        <v>60</v>
      </c>
      <c r="H19" s="144">
        <f>'6MSynthDepo'!I29</f>
        <v>3.8076739418758986E-4</v>
      </c>
      <c r="I19" s="40"/>
      <c r="J19" s="135">
        <v>4.4339414739544552E-4</v>
      </c>
      <c r="K19" s="41"/>
      <c r="L19" s="126">
        <v>4.4339414739544552E-4</v>
      </c>
      <c r="M19" s="127" t="e">
        <f>_xll.qlSimpleQuoteSetValue(D19,ROUND($L19,6),EvaluationDate)</f>
        <v>#N/A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EUR2MD_SYNTH6M_Quote#0001</v>
      </c>
      <c r="E20" s="164" t="str">
        <f>_xll.ohRangeRetrieveError(D20)</f>
        <v/>
      </c>
      <c r="F20" s="10"/>
      <c r="G20" s="145" t="s">
        <v>61</v>
      </c>
      <c r="H20" s="139">
        <f>'6MSynthDepo'!I30</f>
        <v>3.8723780123774186E-4</v>
      </c>
      <c r="I20" s="17"/>
      <c r="J20" s="132">
        <v>4.3058687499026286E-4</v>
      </c>
      <c r="K20" s="16"/>
      <c r="L20" s="120">
        <v>4.3058687499026286E-4</v>
      </c>
      <c r="M20" s="121" t="e">
        <f>_xll.qlSimpleQuoteSetValue(D20,ROUND($L20,6),EvaluationDate)</f>
        <v>#N/A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EUR3MD_SYNTH6M_Quote#0001</v>
      </c>
      <c r="E21" s="164" t="str">
        <f>_xll.ohRangeRetrieveError(D21)</f>
        <v/>
      </c>
      <c r="F21" s="10"/>
      <c r="G21" s="145" t="s">
        <v>62</v>
      </c>
      <c r="H21" s="139">
        <f>'6MSynthDepo'!I31</f>
        <v>3.8997305248164463E-4</v>
      </c>
      <c r="I21" s="17"/>
      <c r="J21" s="132">
        <v>4.2246150087927003E-4</v>
      </c>
      <c r="K21" s="16"/>
      <c r="L21" s="120">
        <v>4.2246150087927003E-4</v>
      </c>
      <c r="M21" s="121" t="e">
        <f>_xll.qlSimpleQuoteSetValue(D21,ROUND($L21,6),EvaluationDate)</f>
        <v>#N/A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EUR4MD_SYNTH6M_Quote#0001</v>
      </c>
      <c r="E22" s="164" t="str">
        <f>_xll.ohRangeRetrieveError(D22)</f>
        <v/>
      </c>
      <c r="F22" s="10"/>
      <c r="G22" s="145" t="s">
        <v>63</v>
      </c>
      <c r="H22" s="139">
        <f>'6MSynthDepo'!I32</f>
        <v>4.0378445612225007E-4</v>
      </c>
      <c r="I22" s="17"/>
      <c r="J22" s="132">
        <v>4.2778488565454174E-4</v>
      </c>
      <c r="K22" s="16"/>
      <c r="L22" s="120">
        <v>4.2778488565454174E-4</v>
      </c>
      <c r="M22" s="121" t="e">
        <f>_xll.qlSimpleQuoteSetValue(D22,ROUND($L22,6),EvaluationDate)</f>
        <v>#N/A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EUR5MD_SYNTH6M_Quote#0001</v>
      </c>
      <c r="E23" s="164" t="str">
        <f>_xll.ohRangeRetrieveError(D23)</f>
        <v/>
      </c>
      <c r="F23" s="10"/>
      <c r="G23" s="145" t="s">
        <v>64</v>
      </c>
      <c r="H23" s="139">
        <f>'6MSynthDepo'!I33</f>
        <v>4.2158585710700184E-4</v>
      </c>
      <c r="I23" s="17"/>
      <c r="J23" s="132">
        <v>4.2439538667912887E-4</v>
      </c>
      <c r="K23" s="16"/>
      <c r="L23" s="120">
        <v>4.2439538667912887E-4</v>
      </c>
      <c r="M23" s="121" t="e">
        <f>_xll.qlSimpleQuoteSetValue(D23,ROUND($L23,6),EvaluationDate)</f>
        <v>#N/A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EUR6MD_SYNTH6M_Quote#0001</v>
      </c>
      <c r="E24" s="165" t="str">
        <f>_xll.ohRangeRetrieveError(D24)</f>
        <v/>
      </c>
      <c r="F24" s="10"/>
      <c r="G24" s="146" t="s">
        <v>65</v>
      </c>
      <c r="H24" s="147">
        <f>'6MSynthDepo'!I34</f>
        <v>4.1742054413159172E-4</v>
      </c>
      <c r="I24" s="17"/>
      <c r="J24" s="133">
        <v>4.2660256202847508E-4</v>
      </c>
      <c r="K24" s="16"/>
      <c r="L24" s="122">
        <v>4.2660256202847508E-4</v>
      </c>
      <c r="M24" s="123" t="e">
        <f>_xll.qlSimpleQuoteSetValue(D24,ROUND($L24,6),EvaluationDate)</f>
        <v>#N/A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EURSND_SYNTH1Y_Quote#0001</v>
      </c>
      <c r="E25" s="164" t="str">
        <f>_xll.ohRangeRetrieveError(D25)</f>
        <v/>
      </c>
      <c r="F25" s="16"/>
      <c r="G25" s="148" t="s">
        <v>55</v>
      </c>
      <c r="H25" s="144">
        <f>'1YSynthDepo'!I20</f>
        <v>1.7746419001518632E-3</v>
      </c>
      <c r="I25" s="17"/>
      <c r="J25" s="132">
        <v>1.8117729168931618E-3</v>
      </c>
      <c r="K25" s="16"/>
      <c r="L25" s="120">
        <v>1.8117729168931618E-3</v>
      </c>
      <c r="M25" s="121" t="e">
        <f>_xll.qlSimpleQuoteSetValue(D25,ROUND($L25,6),EvaluationDate)</f>
        <v>#N/A</v>
      </c>
      <c r="N25" s="110">
        <f>_xll.ohTrigger(M25:M40)</f>
        <v>2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EURSWD_SYNTH1Y_Quote#0001</v>
      </c>
      <c r="E26" s="164" t="str">
        <f>_xll.ohRangeRetrieveError(D26)</f>
        <v/>
      </c>
      <c r="F26" s="16"/>
      <c r="G26" s="149" t="s">
        <v>57</v>
      </c>
      <c r="H26" s="139">
        <f>'1YSynthDepo'!I21</f>
        <v>1.7690368578587063E-3</v>
      </c>
      <c r="I26" s="17"/>
      <c r="J26" s="132">
        <v>1.8051836752151574E-3</v>
      </c>
      <c r="K26" s="16"/>
      <c r="L26" s="120">
        <v>1.8051836752151574E-3</v>
      </c>
      <c r="M26" s="121" t="e">
        <f>_xll.qlSimpleQuoteSetValue(D26,ROUND($L26,6),EvaluationDate)</f>
        <v>#N/A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EUR2WD_SYNTH1Y_Quote#0001</v>
      </c>
      <c r="E27" s="164" t="str">
        <f>_xll.ohRangeRetrieveError(D27)</f>
        <v/>
      </c>
      <c r="F27" s="10"/>
      <c r="G27" s="149" t="s">
        <v>58</v>
      </c>
      <c r="H27" s="139">
        <f>'1YSynthDepo'!I22</f>
        <v>1.7527403707560752E-3</v>
      </c>
      <c r="I27" s="17"/>
      <c r="J27" s="132">
        <v>1.7877603180238566E-3</v>
      </c>
      <c r="K27" s="16"/>
      <c r="L27" s="120">
        <v>1.7877603180238566E-3</v>
      </c>
      <c r="M27" s="121" t="e">
        <f>_xll.qlSimpleQuoteSetValue(D27,ROUND($L27,6),EvaluationDate)</f>
        <v>#N/A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EUR3WD_SYNTH1Y_Quote#0001</v>
      </c>
      <c r="E28" s="164" t="str">
        <f>_xll.ohRangeRetrieveError(D28)</f>
        <v/>
      </c>
      <c r="F28" s="10"/>
      <c r="G28" s="149" t="s">
        <v>59</v>
      </c>
      <c r="H28" s="139">
        <f>'1YSynthDepo'!I23</f>
        <v>1.7467194064137357E-3</v>
      </c>
      <c r="I28" s="17"/>
      <c r="J28" s="132">
        <v>1.7806353066391572E-3</v>
      </c>
      <c r="K28" s="16"/>
      <c r="L28" s="120">
        <v>1.7806353066391572E-3</v>
      </c>
      <c r="M28" s="121" t="e">
        <f>_xll.qlSimpleQuoteSetValue(D28,ROUND($L28,6),EvaluationDate)</f>
        <v>#N/A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EUR1MD_SYNTH1Y_Quote#0001</v>
      </c>
      <c r="E29" s="164" t="str">
        <f>_xll.ohRangeRetrieveError(D29)</f>
        <v/>
      </c>
      <c r="F29" s="10"/>
      <c r="G29" s="150" t="s">
        <v>60</v>
      </c>
      <c r="H29" s="147">
        <f>'1YSynthDepo'!I24</f>
        <v>1.7151090341704207E-3</v>
      </c>
      <c r="I29" s="17"/>
      <c r="J29" s="133">
        <v>1.7548348688515901E-3</v>
      </c>
      <c r="K29" s="16"/>
      <c r="L29" s="122">
        <v>1.7548348688515901E-3</v>
      </c>
      <c r="M29" s="123" t="e">
        <f>_xll.qlSimpleQuoteSetValue(D29,ROUND($L29,6),EvaluationDate)</f>
        <v>#N/A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EUR2MD_SYNTH1Y_Quote#0001</v>
      </c>
      <c r="E30" s="164" t="str">
        <f>_xll.ohRangeRetrieveError(D30)</f>
        <v/>
      </c>
      <c r="F30" s="10"/>
      <c r="G30" s="149" t="s">
        <v>61</v>
      </c>
      <c r="H30" s="139">
        <f>'1YSynthDepo'!I25</f>
        <v>1.6867286557127827E-3</v>
      </c>
      <c r="I30" s="17"/>
      <c r="J30" s="132">
        <v>1.7116850531168966E-3</v>
      </c>
      <c r="K30" s="16"/>
      <c r="L30" s="120">
        <v>1.7116850531168966E-3</v>
      </c>
      <c r="M30" s="121" t="e">
        <f>_xll.qlSimpleQuoteSetValue(D30,ROUND($L30,6),EvaluationDate)</f>
        <v>#N/A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EUR3MD_SYNTH1Y_Quote#0001</v>
      </c>
      <c r="E31" s="164" t="str">
        <f>_xll.ohRangeRetrieveError(D31)</f>
        <v/>
      </c>
      <c r="F31" s="10"/>
      <c r="G31" s="149" t="s">
        <v>62</v>
      </c>
      <c r="H31" s="139">
        <f>'1YSynthDepo'!I26</f>
        <v>1.6593014703074037E-3</v>
      </c>
      <c r="I31" s="17"/>
      <c r="J31" s="132">
        <v>1.6771221016362668E-3</v>
      </c>
      <c r="K31" s="16"/>
      <c r="L31" s="120">
        <v>1.6771221016362668E-3</v>
      </c>
      <c r="M31" s="121" t="e">
        <f>_xll.qlSimpleQuoteSetValue(D31,ROUND($L31,6),EvaluationDate)</f>
        <v>#N/A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EUR4MD_SYNTH1Y_Quote#0001</v>
      </c>
      <c r="E32" s="164" t="str">
        <f>_xll.ohRangeRetrieveError(D32)</f>
        <v/>
      </c>
      <c r="F32" s="10"/>
      <c r="G32" s="149" t="s">
        <v>63</v>
      </c>
      <c r="H32" s="139">
        <f>'1YSynthDepo'!I27</f>
        <v>1.6463306427426131E-3</v>
      </c>
      <c r="I32" s="17"/>
      <c r="J32" s="132">
        <v>1.6588058446318351E-3</v>
      </c>
      <c r="K32" s="16"/>
      <c r="L32" s="120">
        <v>1.6588058446318351E-3</v>
      </c>
      <c r="M32" s="121" t="e">
        <f>_xll.qlSimpleQuoteSetValue(D32,ROUND($L32,6),EvaluationDate)</f>
        <v>#N/A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EUR5MD_SYNTH1Y_Quote#0001</v>
      </c>
      <c r="E33" s="164" t="str">
        <f>_xll.ohRangeRetrieveError(D33)</f>
        <v/>
      </c>
      <c r="F33" s="16"/>
      <c r="G33" s="149" t="s">
        <v>64</v>
      </c>
      <c r="H33" s="139">
        <f>'1YSynthDepo'!I28</f>
        <v>1.6398699522782658E-3</v>
      </c>
      <c r="I33" s="17"/>
      <c r="J33" s="132">
        <v>1.633830423033967E-3</v>
      </c>
      <c r="K33" s="16"/>
      <c r="L33" s="120">
        <v>1.633830423033967E-3</v>
      </c>
      <c r="M33" s="121" t="e">
        <f>_xll.qlSimpleQuoteSetValue(D33,ROUND($L33,6),EvaluationDate)</f>
        <v>#N/A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EUR6MD_SYNTH1Y_Quote#0001</v>
      </c>
      <c r="E34" s="164" t="str">
        <f>_xll.ohRangeRetrieveError(D34)</f>
        <v/>
      </c>
      <c r="F34" s="16"/>
      <c r="G34" s="149" t="s">
        <v>65</v>
      </c>
      <c r="H34" s="139">
        <f>'1YSynthDepo'!I29</f>
        <v>1.6147554144898741E-3</v>
      </c>
      <c r="I34" s="17"/>
      <c r="J34" s="132">
        <v>1.6172537696317712E-3</v>
      </c>
      <c r="K34" s="16"/>
      <c r="L34" s="120">
        <v>1.6172537696317712E-3</v>
      </c>
      <c r="M34" s="121" t="e">
        <f>_xll.qlSimpleQuoteSetValue(D34,ROUND($L34,6),EvaluationDate)</f>
        <v>#N/A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EUR7MD_SYNTH1Y_Quote#0001</v>
      </c>
      <c r="E35" s="164" t="str">
        <f>_xll.ohRangeRetrieveError(D35)</f>
        <v/>
      </c>
      <c r="F35" s="16"/>
      <c r="G35" s="149" t="s">
        <v>66</v>
      </c>
      <c r="H35" s="139">
        <f>'1YSynthDepo'!I30</f>
        <v>1.6558775702768074E-3</v>
      </c>
      <c r="I35" s="17"/>
      <c r="J35" s="132">
        <v>1.6590267223403109E-3</v>
      </c>
      <c r="K35" s="16"/>
      <c r="L35" s="120">
        <v>1.6590267223403109E-3</v>
      </c>
      <c r="M35" s="121" t="e">
        <f>_xll.qlSimpleQuoteSetValue(D35,ROUND($L35,6),EvaluationDate)</f>
        <v>#N/A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EUR8MD_SYNTH1Y_Quote#0001</v>
      </c>
      <c r="E36" s="164" t="str">
        <f>_xll.ohRangeRetrieveError(D36)</f>
        <v/>
      </c>
      <c r="F36" s="16"/>
      <c r="G36" s="149" t="s">
        <v>67</v>
      </c>
      <c r="H36" s="139">
        <f>'1YSynthDepo'!I31</f>
        <v>1.6558775702768074E-3</v>
      </c>
      <c r="I36" s="17"/>
      <c r="J36" s="132">
        <v>1.6590267223403109E-3</v>
      </c>
      <c r="K36" s="16"/>
      <c r="L36" s="120">
        <v>1.6590267223403109E-3</v>
      </c>
      <c r="M36" s="121" t="e">
        <f>_xll.qlSimpleQuoteSetValue(D36,ROUND($L36,6),EvaluationDate)</f>
        <v>#N/A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EUR9MD_SYNTH1Y_Quote#0001</v>
      </c>
      <c r="E37" s="164" t="str">
        <f>_xll.ohRangeRetrieveError(D37)</f>
        <v/>
      </c>
      <c r="F37" s="16"/>
      <c r="G37" s="149" t="s">
        <v>68</v>
      </c>
      <c r="H37" s="139">
        <f>'1YSynthDepo'!I32</f>
        <v>1.6558775702768074E-3</v>
      </c>
      <c r="I37" s="17"/>
      <c r="J37" s="132">
        <v>1.6590267223403109E-3</v>
      </c>
      <c r="K37" s="16"/>
      <c r="L37" s="120">
        <v>1.6590267223403109E-3</v>
      </c>
      <c r="M37" s="121" t="e">
        <f>_xll.qlSimpleQuoteSetValue(D37,ROUND($L37,6),EvaluationDate)</f>
        <v>#N/A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EUR10MD_SYNTH1Y_Quote#0001</v>
      </c>
      <c r="E38" s="164" t="str">
        <f>_xll.ohRangeRetrieveError(D38)</f>
        <v/>
      </c>
      <c r="F38" s="16"/>
      <c r="G38" s="149" t="s">
        <v>69</v>
      </c>
      <c r="H38" s="139">
        <f>'1YSynthDepo'!I33</f>
        <v>1.6558775702768074E-3</v>
      </c>
      <c r="I38" s="17"/>
      <c r="J38" s="132">
        <v>1.6590267223403109E-3</v>
      </c>
      <c r="K38" s="16"/>
      <c r="L38" s="120">
        <v>1.6590267223403109E-3</v>
      </c>
      <c r="M38" s="121" t="e">
        <f>_xll.qlSimpleQuoteSetValue(D38,ROUND($L38,6),EvaluationDate)</f>
        <v>#N/A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EUR11MD_SYNTH1Y_Quote#0001</v>
      </c>
      <c r="E39" s="164" t="str">
        <f>_xll.ohRangeRetrieveError(D39)</f>
        <v/>
      </c>
      <c r="F39" s="16"/>
      <c r="G39" s="149" t="s">
        <v>70</v>
      </c>
      <c r="H39" s="139">
        <f>'1YSynthDepo'!I34</f>
        <v>1.6558775702768074E-3</v>
      </c>
      <c r="I39" s="17"/>
      <c r="J39" s="132">
        <v>1.6590267223403109E-3</v>
      </c>
      <c r="K39" s="16"/>
      <c r="L39" s="120">
        <v>1.6590267223403109E-3</v>
      </c>
      <c r="M39" s="121" t="e">
        <f>_xll.qlSimpleQuoteSetValue(D39,ROUND($L39,6),EvaluationDate)</f>
        <v>#N/A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EUR1YD_SYNTH1Y_Quote#0001</v>
      </c>
      <c r="E40" s="164" t="str">
        <f>_xll.ohRangeRetrieveError(D40)</f>
        <v/>
      </c>
      <c r="F40" s="16"/>
      <c r="G40" s="150" t="s">
        <v>71</v>
      </c>
      <c r="H40" s="147">
        <f>'1YSynthDepo'!I35</f>
        <v>1.6558775702768074E-3</v>
      </c>
      <c r="I40" s="17"/>
      <c r="J40" s="133">
        <v>1.6590267223403109E-3</v>
      </c>
      <c r="K40" s="16"/>
      <c r="L40" s="122">
        <v>1.6590267223403109E-3</v>
      </c>
      <c r="M40" s="123" t="e">
        <f>_xll.qlSimpleQuoteSetValue(D40,ROUND($L40,6),EvaluationDate)</f>
        <v>#N/A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EUR1x13F_SYNTH1Y_Quote#0001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1.6499999999999998E-3</v>
      </c>
      <c r="I41" s="18"/>
      <c r="J41" s="136">
        <v>1.65E-3</v>
      </c>
      <c r="K41" s="19"/>
      <c r="L41" s="128">
        <v>1.65E-3</v>
      </c>
      <c r="M41" s="129" t="e">
        <f>_xll.qlSimpleQuoteSetValue(D41,ROUND(L41,6),EvaluationDate)</f>
        <v>#N/A</v>
      </c>
      <c r="N41" s="110">
        <f>_xll.ohTrigger(M41:M63)</f>
        <v>2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EUR2x14F_SYNTH1Y_Quote#0001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1.6899999999999999E-3</v>
      </c>
      <c r="I42" s="19"/>
      <c r="J42" s="136">
        <v>1.6900000000000001E-3</v>
      </c>
      <c r="K42" s="19"/>
      <c r="L42" s="128">
        <v>1.6900000000000001E-3</v>
      </c>
      <c r="M42" s="129" t="e">
        <f>_xll.qlSimpleQuoteSetValue(D42,ROUND(L42,6),EvaluationDate)</f>
        <v>#N/A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EUR3x15F_SYNTH1Y_Quote#0001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1.73E-3</v>
      </c>
      <c r="I43" s="19"/>
      <c r="J43" s="136">
        <v>1.73E-3</v>
      </c>
      <c r="K43" s="19"/>
      <c r="L43" s="128">
        <v>1.73E-3</v>
      </c>
      <c r="M43" s="129" t="e">
        <f>_xll.qlSimpleQuoteSetValue(D43,ROUND(L43,6),EvaluationDate)</f>
        <v>#N/A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EUR4x16F_SYNTH1Y_Quote#0001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1.7799999999999999E-3</v>
      </c>
      <c r="I44" s="19"/>
      <c r="J44" s="136">
        <v>1.7799999999999997E-3</v>
      </c>
      <c r="K44" s="19"/>
      <c r="L44" s="128">
        <v>1.7799999999999997E-3</v>
      </c>
      <c r="M44" s="129" t="e">
        <f>_xll.qlSimpleQuoteSetValue(D44,ROUND(L44,6),EvaluationDate)</f>
        <v>#N/A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EUR5x17F_SYNTH1Y_Quote#0001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1.8400000000000001E-3</v>
      </c>
      <c r="I45" s="19"/>
      <c r="J45" s="136">
        <v>1.8400000000000001E-3</v>
      </c>
      <c r="K45" s="19"/>
      <c r="L45" s="128">
        <v>1.8400000000000001E-3</v>
      </c>
      <c r="M45" s="129" t="e">
        <f>_xll.qlSimpleQuoteSetValue(D45,ROUND(L45,6),EvaluationDate)</f>
        <v>#N/A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EUR6x18F_SYNTH1Y_Quote#0001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1.91E-3</v>
      </c>
      <c r="I46" s="19"/>
      <c r="J46" s="136">
        <v>1.9100000000000002E-3</v>
      </c>
      <c r="K46" s="19"/>
      <c r="L46" s="128">
        <v>1.9100000000000002E-3</v>
      </c>
      <c r="M46" s="129" t="e">
        <f>_xll.qlSimpleQuoteSetValue(D46,ROUND(L46,6),EvaluationDate)</f>
        <v>#N/A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EUR7x19F_SYNTH1Y_Quote#0001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1.98E-3</v>
      </c>
      <c r="I47" s="19"/>
      <c r="J47" s="136">
        <v>1.98E-3</v>
      </c>
      <c r="K47" s="19"/>
      <c r="L47" s="128">
        <v>1.98E-3</v>
      </c>
      <c r="M47" s="129" t="e">
        <f>_xll.qlSimpleQuoteSetValue(D47,ROUND(L47,6),EvaluationDate)</f>
        <v>#N/A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EUR8x20F_SYNTH1Y_Quote#0001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2.0899999999999998E-3</v>
      </c>
      <c r="I48" s="19"/>
      <c r="J48" s="136">
        <v>2.0899999999999998E-3</v>
      </c>
      <c r="K48" s="19"/>
      <c r="L48" s="128">
        <v>2.0899999999999998E-3</v>
      </c>
      <c r="M48" s="129" t="e">
        <f>_xll.qlSimpleQuoteSetValue(D48,ROUND(L48,6),EvaluationDate)</f>
        <v>#N/A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EUR9x21F_SYNTH1Y_Quote#0001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2.2100000000000002E-3</v>
      </c>
      <c r="I49" s="19"/>
      <c r="J49" s="136">
        <v>2.2100000000000002E-3</v>
      </c>
      <c r="K49" s="19"/>
      <c r="L49" s="128">
        <v>2.2100000000000002E-3</v>
      </c>
      <c r="M49" s="129" t="e">
        <f>_xll.qlSimpleQuoteSetValue(D49,ROUND(L49,6),EvaluationDate)</f>
        <v>#N/A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EUR10x22F_SYNTH1Y_Quote#0001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2.3400000000000001E-3</v>
      </c>
      <c r="I50" s="19"/>
      <c r="J50" s="136">
        <v>2.3400000000000001E-3</v>
      </c>
      <c r="K50" s="19"/>
      <c r="L50" s="128">
        <v>2.3400000000000001E-3</v>
      </c>
      <c r="M50" s="129" t="e">
        <f>_xll.qlSimpleQuoteSetValue(D50,ROUND(L50,6),EvaluationDate)</f>
        <v>#N/A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EUR11x23F_SYNTH1Y_Quote#0001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2.4599999999999999E-3</v>
      </c>
      <c r="I51" s="19"/>
      <c r="J51" s="136">
        <v>2.4599999999999999E-3</v>
      </c>
      <c r="K51" s="19"/>
      <c r="L51" s="128">
        <v>2.4599999999999999E-3</v>
      </c>
      <c r="M51" s="129" t="e">
        <f>_xll.qlSimpleQuoteSetValue(D51,ROUND(L51,6),EvaluationDate)</f>
        <v>#N/A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EUR13x25F_SYNTH1Y_Quote#0001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2.7672289418668936E-3</v>
      </c>
      <c r="I52" s="19"/>
      <c r="J52" s="136">
        <v>2.7673532594459697E-3</v>
      </c>
      <c r="K52" s="19"/>
      <c r="L52" s="128">
        <v>2.7673532594459697E-3</v>
      </c>
      <c r="M52" s="129" t="e">
        <f>_xll.qlSimpleQuoteSetValue(D52,ROUND(L52,6),EvaluationDate)</f>
        <v>#N/A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EUR14x26F_SYNTH1Y_Quote#0001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2.9108573123169819E-3</v>
      </c>
      <c r="I53" s="19"/>
      <c r="J53" s="136">
        <v>2.9099434970436097E-3</v>
      </c>
      <c r="K53" s="19"/>
      <c r="L53" s="128">
        <v>2.9099434970436097E-3</v>
      </c>
      <c r="M53" s="129" t="e">
        <f>_xll.qlSimpleQuoteSetValue(D53,ROUND(L53,6),EvaluationDate)</f>
        <v>#N/A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EUR15x27F_SYNTH1Y_Quote#0001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3.0737520465707298E-3</v>
      </c>
      <c r="I54" s="19"/>
      <c r="J54" s="136">
        <v>3.0686634324651723E-3</v>
      </c>
      <c r="K54" s="19"/>
      <c r="L54" s="128">
        <v>3.0686634324651723E-3</v>
      </c>
      <c r="M54" s="129" t="e">
        <f>_xll.qlSimpleQuoteSetValue(D54,ROUND(L54,6),EvaluationDate)</f>
        <v>#N/A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EUR16x28F_SYNTH1Y_Quote#0001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3.2371793859746595E-3</v>
      </c>
      <c r="I55" s="19"/>
      <c r="J55" s="136">
        <v>3.2237829552436825E-3</v>
      </c>
      <c r="K55" s="19"/>
      <c r="L55" s="128">
        <v>3.2237829552436825E-3</v>
      </c>
      <c r="M55" s="129" t="e">
        <f>_xll.qlSimpleQuoteSetValue(D55,ROUND(L55,6),EvaluationDate)</f>
        <v>#N/A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EUR17x29F_SYNTH1Y_Quote#0001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3.3697914446360316E-3</v>
      </c>
      <c r="I56" s="19"/>
      <c r="J56" s="136">
        <v>3.3722916410829258E-3</v>
      </c>
      <c r="K56" s="19"/>
      <c r="L56" s="128">
        <v>3.3722916410829258E-3</v>
      </c>
      <c r="M56" s="129" t="e">
        <f>_xll.qlSimpleQuoteSetValue(D56,ROUND(L56,6),EvaluationDate)</f>
        <v>#N/A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EUR18x30F_SYNTH1Y_Quote#0001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3.5507819611170885E-3</v>
      </c>
      <c r="I57" s="19"/>
      <c r="J57" s="136">
        <v>3.5456249903564859E-3</v>
      </c>
      <c r="K57" s="19"/>
      <c r="L57" s="128">
        <v>3.5456249903564859E-3</v>
      </c>
      <c r="M57" s="129" t="e">
        <f>_xll.qlSimpleQuoteSetValue(D57,ROUND(L57,6),EvaluationDate)</f>
        <v>#N/A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EUR19x31F_SYNTH1Y_Quote#0001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3.6993549786190475E-3</v>
      </c>
      <c r="I58" s="19"/>
      <c r="J58" s="136">
        <v>3.6923109546895799E-3</v>
      </c>
      <c r="K58" s="19"/>
      <c r="L58" s="128">
        <v>3.6923109546895799E-3</v>
      </c>
      <c r="M58" s="129" t="e">
        <f>_xll.qlSimpleQuoteSetValue(D58,ROUND(L58,6),EvaluationDate)</f>
        <v>#N/A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EUR20x32F_SYNTH1Y_Quote#0001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3.8510391246488317E-3</v>
      </c>
      <c r="I59" s="19"/>
      <c r="J59" s="136">
        <v>3.845302499894961E-3</v>
      </c>
      <c r="K59" s="19"/>
      <c r="L59" s="128">
        <v>3.845302499894961E-3</v>
      </c>
      <c r="M59" s="129" t="e">
        <f>_xll.qlSimpleQuoteSetValue(D59,ROUND(L59,6),EvaluationDate)</f>
        <v>#N/A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EUR21x33F_SYNTH1Y_Quote#0001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4.010242967904077E-3</v>
      </c>
      <c r="I60" s="19"/>
      <c r="J60" s="136">
        <v>4.0070026658950916E-3</v>
      </c>
      <c r="K60" s="19"/>
      <c r="L60" s="128">
        <v>4.0070026658950916E-3</v>
      </c>
      <c r="M60" s="129" t="e">
        <f>_xll.qlSimpleQuoteSetValue(D60,ROUND(L60,6),EvaluationDate)</f>
        <v>#N/A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EUR22x34F_SYNTH1Y_Quote#0001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4.1872052971943779E-3</v>
      </c>
      <c r="I61" s="19"/>
      <c r="J61" s="136">
        <v>4.1857524867856995E-3</v>
      </c>
      <c r="K61" s="19"/>
      <c r="L61" s="128">
        <v>4.1857524867856995E-3</v>
      </c>
      <c r="M61" s="129" t="e">
        <f>_xll.qlSimpleQuoteSetValue(D61,ROUND(L61,6),EvaluationDate)</f>
        <v>#N/A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EUR23x35F_SYNTH1Y_Quote#0001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4.3552373364713955E-3</v>
      </c>
      <c r="I62" s="19"/>
      <c r="J62" s="136">
        <v>4.3546355645762095E-3</v>
      </c>
      <c r="K62" s="19"/>
      <c r="L62" s="128">
        <v>4.3546355645762095E-3</v>
      </c>
      <c r="M62" s="129" t="e">
        <f>_xll.qlSimpleQuoteSetValue(D62,ROUND(L62,6),EvaluationDate)</f>
        <v>#N/A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EUR24x36F_SYNTH1Y_Quote#0001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4.5499999999999994E-3</v>
      </c>
      <c r="I63" s="19"/>
      <c r="J63" s="137">
        <v>4.5499999999999994E-3</v>
      </c>
      <c r="K63" s="19"/>
      <c r="L63" s="130">
        <v>4.5499999999999994E-3</v>
      </c>
      <c r="M63" s="131" t="e">
        <f>_xll.qlSimpleQuoteSetValue(D63,ROUND(L63,6),EvaluationDate)</f>
        <v>#N/A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2015-08-10T16:10:54Z</dcterms:modified>
</cp:coreProperties>
</file>